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thomas_andersen_dnt_no/Documents/DNT/Administrasjon/Utredning/"/>
    </mc:Choice>
  </mc:AlternateContent>
  <xr:revisionPtr revIDLastSave="387" documentId="8_{B41659C1-3F83-40C1-8FBD-09F1632F5542}" xr6:coauthVersionLast="47" xr6:coauthVersionMax="47" xr10:uidLastSave="{2BDD6010-0BDD-4D54-9569-0F0330BD903C}"/>
  <bookViews>
    <workbookView xWindow="28680" yWindow="-120" windowWidth="29040" windowHeight="15720" activeTab="6" xr2:uid="{00000000-000D-0000-FFFF-FFFF00000000}"/>
  </bookViews>
  <sheets>
    <sheet name="P2026 " sheetId="27" r:id="rId1"/>
    <sheet name="AVG 3 ÅR" sheetId="22" r:id="rId2"/>
    <sheet name="R2023" sheetId="4" r:id="rId3"/>
    <sheet name="R2022" sheetId="15" r:id="rId4"/>
    <sheet name="R2021" sheetId="17" r:id="rId5"/>
    <sheet name="Medlemmer" sheetId="23" r:id="rId6"/>
    <sheet name="i2026" sheetId="28" r:id="rId7"/>
    <sheet name="Referanseark" sheetId="26" r:id="rId8"/>
    <sheet name="POGO kontoplan original" sheetId="7" state="hidden" r:id="rId9"/>
    <sheet name="Kontoplan komplett" sheetId="1" state="hidden" r:id="rId10"/>
  </sheets>
  <definedNames>
    <definedName name="_xlnm._FilterDatabase" localSheetId="1" hidden="1">'AVG 3 ÅR'!$A$3:$I$3</definedName>
    <definedName name="_xlnm._FilterDatabase" localSheetId="0" hidden="1">'P2026 '!$A$3:$I$3</definedName>
    <definedName name="_xlnm._FilterDatabase" localSheetId="4" hidden="1">'R2021'!$A$3:$I$3</definedName>
    <definedName name="_xlnm._FilterDatabase" localSheetId="3" hidden="1">'R2022'!$A$3:$I$3</definedName>
    <definedName name="_xlnm._FilterDatabase" localSheetId="2" hidden="1">'R2023'!$A$3:$I$3</definedName>
    <definedName name="_xlnm._FilterDatabase" localSheetId="7" hidden="1">Referanseark!$A$3:$I$3</definedName>
    <definedName name="_xlnm.Print_Area" localSheetId="1">'AVG 3 ÅR'!$6:$11</definedName>
    <definedName name="_xlnm.Print_Area" localSheetId="9">'Kontoplan komplett'!$A$1:$G$508</definedName>
    <definedName name="_xlnm.Print_Area" localSheetId="0">'P2026 '!#REF!</definedName>
    <definedName name="_xlnm.Print_Area" localSheetId="8">'POGO kontoplan original'!$A$1:$D$337</definedName>
    <definedName name="_xlnm.Print_Area" localSheetId="4">'R2021'!$6:$11</definedName>
    <definedName name="_xlnm.Print_Area" localSheetId="3">'R2022'!$6:$11</definedName>
    <definedName name="_xlnm.Print_Area" localSheetId="2">'R2023'!$6:$11</definedName>
    <definedName name="_xlnm.Print_Area" localSheetId="7">Referanseark!#REF!</definedName>
    <definedName name="_xlnm.Print_Titles" localSheetId="1">'AVG 3 ÅR'!$3:$3</definedName>
    <definedName name="_xlnm.Print_Titles" localSheetId="0">'P2026 '!$3:$3</definedName>
    <definedName name="_xlnm.Print_Titles" localSheetId="4">'R2021'!$3:$3</definedName>
    <definedName name="_xlnm.Print_Titles" localSheetId="3">'R2022'!$3:$3</definedName>
    <definedName name="_xlnm.Print_Titles" localSheetId="2">'R2023'!$3:$3</definedName>
    <definedName name="_xlnm.Print_Titles" localSheetId="7">Referanseark!$3:$3</definedName>
    <definedName name="Z_AC4EA9A6_2CED_4841_B447_8AE2764D4F20_.wvu.FilterData" localSheetId="1" hidden="1">'AVG 3 ÅR'!$A$3:$I$3</definedName>
    <definedName name="Z_AC4EA9A6_2CED_4841_B447_8AE2764D4F20_.wvu.FilterData" localSheetId="0" hidden="1">'P2026 '!$A$3:$I$3</definedName>
    <definedName name="Z_AC4EA9A6_2CED_4841_B447_8AE2764D4F20_.wvu.FilterData" localSheetId="4" hidden="1">'R2021'!$A$3:$I$3</definedName>
    <definedName name="Z_AC4EA9A6_2CED_4841_B447_8AE2764D4F20_.wvu.FilterData" localSheetId="3" hidden="1">'R2022'!$A$3:$I$3</definedName>
    <definedName name="Z_AC4EA9A6_2CED_4841_B447_8AE2764D4F20_.wvu.FilterData" localSheetId="2" hidden="1">'R2023'!$A$3:$I$3</definedName>
    <definedName name="Z_AC4EA9A6_2CED_4841_B447_8AE2764D4F20_.wvu.FilterData" localSheetId="7" hidden="1">Referanseark!$A$3:$I$3</definedName>
    <definedName name="Z_AC4EA9A6_2CED_4841_B447_8AE2764D4F20_.wvu.PrintArea" localSheetId="1" hidden="1">'AVG 3 ÅR'!$A$3:$C$501</definedName>
    <definedName name="Z_AC4EA9A6_2CED_4841_B447_8AE2764D4F20_.wvu.PrintArea" localSheetId="9" hidden="1">'Kontoplan komplett'!$A$1:$G$508</definedName>
    <definedName name="Z_AC4EA9A6_2CED_4841_B447_8AE2764D4F20_.wvu.PrintArea" localSheetId="0" hidden="1">'P2026 '!$A$3:$C$314</definedName>
    <definedName name="Z_AC4EA9A6_2CED_4841_B447_8AE2764D4F20_.wvu.PrintArea" localSheetId="8" hidden="1">'POGO kontoplan original'!$A$1:$D$337</definedName>
    <definedName name="Z_AC4EA9A6_2CED_4841_B447_8AE2764D4F20_.wvu.PrintArea" localSheetId="4" hidden="1">'R2021'!$A$3:$C$501</definedName>
    <definedName name="Z_AC4EA9A6_2CED_4841_B447_8AE2764D4F20_.wvu.PrintArea" localSheetId="3" hidden="1">'R2022'!$A$3:$C$501</definedName>
    <definedName name="Z_AC4EA9A6_2CED_4841_B447_8AE2764D4F20_.wvu.PrintArea" localSheetId="2" hidden="1">'R2023'!$A$3:$C$501</definedName>
    <definedName name="Z_AC4EA9A6_2CED_4841_B447_8AE2764D4F20_.wvu.PrintArea" localSheetId="7" hidden="1">Referanseark!$A$3:$C$311</definedName>
    <definedName name="Z_AC4EA9A6_2CED_4841_B447_8AE2764D4F20_.wvu.PrintTitles" localSheetId="1" hidden="1">'AVG 3 ÅR'!$3:$3</definedName>
    <definedName name="Z_AC4EA9A6_2CED_4841_B447_8AE2764D4F20_.wvu.PrintTitles" localSheetId="0" hidden="1">'P2026 '!$3:$3</definedName>
    <definedName name="Z_AC4EA9A6_2CED_4841_B447_8AE2764D4F20_.wvu.PrintTitles" localSheetId="4" hidden="1">'R2021'!$3:$3</definedName>
    <definedName name="Z_AC4EA9A6_2CED_4841_B447_8AE2764D4F20_.wvu.PrintTitles" localSheetId="3" hidden="1">'R2022'!$3:$3</definedName>
    <definedName name="Z_AC4EA9A6_2CED_4841_B447_8AE2764D4F20_.wvu.PrintTitles" localSheetId="2" hidden="1">'R2023'!$3:$3</definedName>
    <definedName name="Z_AC4EA9A6_2CED_4841_B447_8AE2764D4F20_.wvu.PrintTitles" localSheetId="7" hidden="1">Referanseark!$3:$3</definedName>
  </definedNames>
  <calcPr calcId="191028"/>
  <customWorkbookViews>
    <customWorkbookView name="Konsesjoner" guid="{AC4EA9A6-2CED-4841-B447-8AE2764D4F20}" maximized="1" xWindow="-8" yWindow="-8" windowWidth="2576" windowHeight="141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8" l="1"/>
  <c r="B12" i="28"/>
  <c r="B11" i="28"/>
  <c r="B10" i="28"/>
  <c r="B9" i="28"/>
  <c r="B5" i="28"/>
  <c r="B3" i="28"/>
  <c r="D68" i="27"/>
  <c r="D28" i="27"/>
  <c r="D83" i="27"/>
  <c r="F258" i="27"/>
  <c r="G258" i="27"/>
  <c r="H258" i="27"/>
  <c r="H151" i="27"/>
  <c r="H150" i="27"/>
  <c r="F67" i="27"/>
  <c r="H249" i="27"/>
  <c r="J249" i="27" s="1"/>
  <c r="G249" i="27"/>
  <c r="F249" i="27"/>
  <c r="F269" i="27"/>
  <c r="G236" i="27"/>
  <c r="G237" i="27" s="1"/>
  <c r="H236" i="27"/>
  <c r="H237" i="27" s="1"/>
  <c r="F236" i="27"/>
  <c r="F237" i="27" s="1"/>
  <c r="F75" i="27"/>
  <c r="G75" i="27"/>
  <c r="D81" i="27"/>
  <c r="E81" i="27"/>
  <c r="F81" i="27"/>
  <c r="G81" i="27"/>
  <c r="H81" i="27"/>
  <c r="F151" i="27"/>
  <c r="F150" i="27"/>
  <c r="F178" i="27"/>
  <c r="F174" i="27"/>
  <c r="F156" i="27"/>
  <c r="F172" i="27"/>
  <c r="J75" i="26"/>
  <c r="I7" i="27"/>
  <c r="K7" i="27" s="1"/>
  <c r="I5" i="27"/>
  <c r="I6" i="27"/>
  <c r="K6" i="27" s="1"/>
  <c r="I8" i="27"/>
  <c r="K8" i="27" s="1"/>
  <c r="I9" i="27"/>
  <c r="K9" i="27" s="1"/>
  <c r="I10" i="27"/>
  <c r="K10" i="27" s="1"/>
  <c r="I11" i="27"/>
  <c r="K11" i="27" s="1"/>
  <c r="I12" i="27"/>
  <c r="I13" i="27"/>
  <c r="I14" i="27"/>
  <c r="K14" i="27" s="1"/>
  <c r="I15" i="27"/>
  <c r="K15" i="27" s="1"/>
  <c r="I16" i="27"/>
  <c r="I17" i="27"/>
  <c r="K17" i="27" s="1"/>
  <c r="I18" i="27"/>
  <c r="K18" i="27" s="1"/>
  <c r="I19" i="27"/>
  <c r="K19" i="27" s="1"/>
  <c r="I20" i="27"/>
  <c r="K20" i="27" s="1"/>
  <c r="I21" i="27"/>
  <c r="K21" i="27" s="1"/>
  <c r="I22" i="27"/>
  <c r="K22" i="27" s="1"/>
  <c r="I23" i="27"/>
  <c r="K23" i="27" s="1"/>
  <c r="I24" i="27"/>
  <c r="K24" i="27" s="1"/>
  <c r="I25" i="27"/>
  <c r="K25" i="27" s="1"/>
  <c r="I26" i="27"/>
  <c r="K26" i="27" s="1"/>
  <c r="I27" i="27"/>
  <c r="K27" i="27" s="1"/>
  <c r="I28" i="27"/>
  <c r="K28" i="27" s="1"/>
  <c r="I29" i="27"/>
  <c r="K29" i="27" s="1"/>
  <c r="I30" i="27"/>
  <c r="K30" i="27" s="1"/>
  <c r="I31" i="27"/>
  <c r="K31" i="27" s="1"/>
  <c r="I32" i="27"/>
  <c r="K32" i="27" s="1"/>
  <c r="I33" i="27"/>
  <c r="K33" i="27" s="1"/>
  <c r="I34" i="27"/>
  <c r="K34" i="27" s="1"/>
  <c r="I35" i="27"/>
  <c r="K35" i="27" s="1"/>
  <c r="I36" i="27"/>
  <c r="K36" i="27" s="1"/>
  <c r="I37" i="27"/>
  <c r="I38" i="27"/>
  <c r="K38" i="27" s="1"/>
  <c r="I39" i="27"/>
  <c r="K39" i="27" s="1"/>
  <c r="I40" i="27"/>
  <c r="K40" i="27" s="1"/>
  <c r="I41" i="27"/>
  <c r="K41" i="27" s="1"/>
  <c r="I42" i="27"/>
  <c r="K42" i="27" s="1"/>
  <c r="I43" i="27"/>
  <c r="K43" i="27" s="1"/>
  <c r="I44" i="27"/>
  <c r="K44" i="27" s="1"/>
  <c r="I45" i="27"/>
  <c r="I46" i="27"/>
  <c r="K46" i="27" s="1"/>
  <c r="I47" i="27"/>
  <c r="K47" i="27" s="1"/>
  <c r="I48" i="27"/>
  <c r="K48" i="27" s="1"/>
  <c r="I49" i="27"/>
  <c r="K49" i="27" s="1"/>
  <c r="I50" i="27"/>
  <c r="K50" i="27" s="1"/>
  <c r="I51" i="27"/>
  <c r="K51" i="27" s="1"/>
  <c r="I52" i="27"/>
  <c r="K52" i="27" s="1"/>
  <c r="I53" i="27"/>
  <c r="I54" i="27"/>
  <c r="K54" i="27" s="1"/>
  <c r="I55" i="27"/>
  <c r="K55" i="27" s="1"/>
  <c r="I56" i="27"/>
  <c r="I57" i="27"/>
  <c r="K57" i="27" s="1"/>
  <c r="I58" i="27"/>
  <c r="K58" i="27" s="1"/>
  <c r="I59" i="27"/>
  <c r="K59" i="27" s="1"/>
  <c r="I60" i="27"/>
  <c r="I61" i="27"/>
  <c r="I62" i="27"/>
  <c r="K62" i="27" s="1"/>
  <c r="I63" i="27"/>
  <c r="K63" i="27" s="1"/>
  <c r="I64" i="27"/>
  <c r="I65" i="27"/>
  <c r="K65" i="27" s="1"/>
  <c r="I67" i="27"/>
  <c r="I68" i="27"/>
  <c r="K68" i="27" s="1"/>
  <c r="I69" i="27"/>
  <c r="K69" i="27" s="1"/>
  <c r="I70" i="27"/>
  <c r="K70" i="27" s="1"/>
  <c r="I71" i="27"/>
  <c r="K71" i="27" s="1"/>
  <c r="I72" i="27"/>
  <c r="K72" i="27" s="1"/>
  <c r="I73" i="27"/>
  <c r="K73" i="27" s="1"/>
  <c r="I74" i="27"/>
  <c r="K74" i="27" s="1"/>
  <c r="I75" i="27"/>
  <c r="I76" i="27"/>
  <c r="K76" i="27" s="1"/>
  <c r="I77" i="27"/>
  <c r="I78" i="27"/>
  <c r="I79" i="27"/>
  <c r="K79" i="27" s="1"/>
  <c r="I80" i="27"/>
  <c r="I81" i="27"/>
  <c r="I82" i="27"/>
  <c r="K82" i="27" s="1"/>
  <c r="I83" i="27"/>
  <c r="K83" i="27" s="1"/>
  <c r="I84" i="27"/>
  <c r="K84" i="27" s="1"/>
  <c r="I85" i="27"/>
  <c r="K85" i="27" s="1"/>
  <c r="I86" i="27"/>
  <c r="I87" i="27"/>
  <c r="K87" i="27" s="1"/>
  <c r="I88" i="27"/>
  <c r="I89" i="27"/>
  <c r="I90" i="27"/>
  <c r="K90" i="27" s="1"/>
  <c r="I91" i="27"/>
  <c r="K91" i="27" s="1"/>
  <c r="I92" i="27"/>
  <c r="I93" i="27"/>
  <c r="K93" i="27" s="1"/>
  <c r="I94" i="27"/>
  <c r="I95" i="27"/>
  <c r="K95" i="27" s="1"/>
  <c r="I96" i="27"/>
  <c r="K96" i="27" s="1"/>
  <c r="I97" i="27"/>
  <c r="K97" i="27" s="1"/>
  <c r="I98" i="27"/>
  <c r="K98" i="27" s="1"/>
  <c r="I99" i="27"/>
  <c r="K99" i="27" s="1"/>
  <c r="I100" i="27"/>
  <c r="K100" i="27" s="1"/>
  <c r="I101" i="27"/>
  <c r="K101" i="27" s="1"/>
  <c r="I104" i="27"/>
  <c r="K104" i="27" s="1"/>
  <c r="I105" i="27"/>
  <c r="I106" i="27"/>
  <c r="I107" i="27"/>
  <c r="K107" i="27" s="1"/>
  <c r="I108" i="27"/>
  <c r="K108" i="27" s="1"/>
  <c r="I109" i="27"/>
  <c r="K109" i="27" s="1"/>
  <c r="I110" i="27"/>
  <c r="K110" i="27" s="1"/>
  <c r="I111" i="27"/>
  <c r="K111" i="27" s="1"/>
  <c r="I112" i="27"/>
  <c r="K112" i="27" s="1"/>
  <c r="I113" i="27"/>
  <c r="K113" i="27" s="1"/>
  <c r="I114" i="27"/>
  <c r="I115" i="27"/>
  <c r="K115" i="27" s="1"/>
  <c r="I116" i="27"/>
  <c r="K116" i="27" s="1"/>
  <c r="I117" i="27"/>
  <c r="K117" i="27" s="1"/>
  <c r="I118" i="27"/>
  <c r="K118" i="27" s="1"/>
  <c r="I119" i="27"/>
  <c r="K119" i="27" s="1"/>
  <c r="I120" i="27"/>
  <c r="K120" i="27" s="1"/>
  <c r="I121" i="27"/>
  <c r="I122" i="27"/>
  <c r="I123" i="27"/>
  <c r="K123" i="27" s="1"/>
  <c r="I124" i="27"/>
  <c r="K124" i="27" s="1"/>
  <c r="I125" i="27"/>
  <c r="K125" i="27" s="1"/>
  <c r="I126" i="27"/>
  <c r="K126" i="27" s="1"/>
  <c r="I127" i="27"/>
  <c r="K127" i="27" s="1"/>
  <c r="I128" i="27"/>
  <c r="I129" i="27"/>
  <c r="K129" i="27" s="1"/>
  <c r="I130" i="27"/>
  <c r="I131" i="27"/>
  <c r="K131" i="27" s="1"/>
  <c r="I132" i="27"/>
  <c r="K132" i="27" s="1"/>
  <c r="I133" i="27"/>
  <c r="K133" i="27" s="1"/>
  <c r="I134" i="27"/>
  <c r="K134" i="27" s="1"/>
  <c r="I135" i="27"/>
  <c r="K135" i="27" s="1"/>
  <c r="I136" i="27"/>
  <c r="I137" i="27"/>
  <c r="K137" i="27" s="1"/>
  <c r="I138" i="27"/>
  <c r="K138" i="27" s="1"/>
  <c r="I139" i="27"/>
  <c r="K139" i="27" s="1"/>
  <c r="I140" i="27"/>
  <c r="K140" i="27" s="1"/>
  <c r="I141" i="27"/>
  <c r="K141" i="27" s="1"/>
  <c r="I142" i="27"/>
  <c r="K142" i="27" s="1"/>
  <c r="I143" i="27"/>
  <c r="K143" i="27" s="1"/>
  <c r="I144" i="27"/>
  <c r="K144" i="27" s="1"/>
  <c r="I145" i="27"/>
  <c r="K145" i="27" s="1"/>
  <c r="I146" i="27"/>
  <c r="K146" i="27" s="1"/>
  <c r="I147" i="27"/>
  <c r="K147" i="27" s="1"/>
  <c r="I150" i="27"/>
  <c r="I151" i="27"/>
  <c r="I152" i="27"/>
  <c r="K152" i="27" s="1"/>
  <c r="I153" i="27"/>
  <c r="K153" i="27" s="1"/>
  <c r="I154" i="27"/>
  <c r="I155" i="27"/>
  <c r="K155" i="27" s="1"/>
  <c r="I156" i="27"/>
  <c r="K156" i="27" s="1"/>
  <c r="I157" i="27"/>
  <c r="K157" i="27" s="1"/>
  <c r="I158" i="27"/>
  <c r="I159" i="27"/>
  <c r="K159" i="27" s="1"/>
  <c r="I160" i="27"/>
  <c r="I161" i="27"/>
  <c r="K161" i="27" s="1"/>
  <c r="I162" i="27"/>
  <c r="I163" i="27"/>
  <c r="K163" i="27" s="1"/>
  <c r="I164" i="27"/>
  <c r="K164" i="27" s="1"/>
  <c r="I165" i="27"/>
  <c r="K165" i="27" s="1"/>
  <c r="I166" i="27"/>
  <c r="I167" i="27"/>
  <c r="K167" i="27" s="1"/>
  <c r="I168" i="27"/>
  <c r="K168" i="27" s="1"/>
  <c r="I169" i="27"/>
  <c r="K169" i="27" s="1"/>
  <c r="I170" i="27"/>
  <c r="I171" i="27"/>
  <c r="K171" i="27" s="1"/>
  <c r="I172" i="27"/>
  <c r="K172" i="27" s="1"/>
  <c r="I173" i="27"/>
  <c r="K173" i="27" s="1"/>
  <c r="I174" i="27"/>
  <c r="K174" i="27" s="1"/>
  <c r="I175" i="27"/>
  <c r="K175" i="27" s="1"/>
  <c r="I176" i="27"/>
  <c r="K176" i="27" s="1"/>
  <c r="I177" i="27"/>
  <c r="K177" i="27" s="1"/>
  <c r="I178" i="27"/>
  <c r="I179" i="27"/>
  <c r="K179" i="27" s="1"/>
  <c r="I180" i="27"/>
  <c r="K180" i="27" s="1"/>
  <c r="I181" i="27"/>
  <c r="K181" i="27" s="1"/>
  <c r="I182" i="27"/>
  <c r="I183" i="27"/>
  <c r="K183" i="27" s="1"/>
  <c r="I184" i="27"/>
  <c r="K184" i="27" s="1"/>
  <c r="I185" i="27"/>
  <c r="K185" i="27" s="1"/>
  <c r="I186" i="27"/>
  <c r="I187" i="27"/>
  <c r="K187" i="27" s="1"/>
  <c r="I188" i="27"/>
  <c r="K188" i="27" s="1"/>
  <c r="I189" i="27"/>
  <c r="K189" i="27" s="1"/>
  <c r="I190" i="27"/>
  <c r="K190" i="27" s="1"/>
  <c r="I191" i="27"/>
  <c r="K191" i="27" s="1"/>
  <c r="I192" i="27"/>
  <c r="K192" i="27" s="1"/>
  <c r="I193" i="27"/>
  <c r="K193" i="27" s="1"/>
  <c r="I194" i="27"/>
  <c r="I195" i="27"/>
  <c r="K195" i="27" s="1"/>
  <c r="I197" i="27"/>
  <c r="K197" i="27" s="1"/>
  <c r="I198" i="27"/>
  <c r="K198" i="27" s="1"/>
  <c r="I199" i="27"/>
  <c r="K199" i="27" s="1"/>
  <c r="I200" i="27"/>
  <c r="K200" i="27" s="1"/>
  <c r="I201" i="27"/>
  <c r="K201" i="27" s="1"/>
  <c r="I203" i="27"/>
  <c r="I204" i="27"/>
  <c r="I205" i="27"/>
  <c r="K205" i="27" s="1"/>
  <c r="I206" i="27"/>
  <c r="K206" i="27" s="1"/>
  <c r="I207" i="27"/>
  <c r="K207" i="27" s="1"/>
  <c r="I208" i="27"/>
  <c r="I210" i="27"/>
  <c r="K210" i="27" s="1"/>
  <c r="I211" i="27"/>
  <c r="K211" i="27" s="1"/>
  <c r="I212" i="27"/>
  <c r="K212" i="27" s="1"/>
  <c r="I213" i="27"/>
  <c r="I214" i="27"/>
  <c r="K214" i="27" s="1"/>
  <c r="I215" i="27"/>
  <c r="K215" i="27" s="1"/>
  <c r="I216" i="27"/>
  <c r="K216" i="27" s="1"/>
  <c r="I217" i="27"/>
  <c r="K217" i="27" s="1"/>
  <c r="I218" i="27"/>
  <c r="K218" i="27" s="1"/>
  <c r="I219" i="27"/>
  <c r="K219" i="27" s="1"/>
  <c r="I220" i="27"/>
  <c r="K220" i="27" s="1"/>
  <c r="I221" i="27"/>
  <c r="I222" i="27"/>
  <c r="K222" i="27" s="1"/>
  <c r="I223" i="27"/>
  <c r="K223" i="27" s="1"/>
  <c r="I224" i="27"/>
  <c r="K224" i="27" s="1"/>
  <c r="I225" i="27"/>
  <c r="I226" i="27"/>
  <c r="K226" i="27" s="1"/>
  <c r="I227" i="27"/>
  <c r="K227" i="27" s="1"/>
  <c r="I228" i="27"/>
  <c r="K228" i="27" s="1"/>
  <c r="I229" i="27"/>
  <c r="I230" i="27"/>
  <c r="K230" i="27" s="1"/>
  <c r="I231" i="27"/>
  <c r="K231" i="27" s="1"/>
  <c r="I232" i="27"/>
  <c r="K232" i="27" s="1"/>
  <c r="I233" i="27"/>
  <c r="I234" i="27"/>
  <c r="K234" i="27" s="1"/>
  <c r="I235" i="27"/>
  <c r="K235" i="27" s="1"/>
  <c r="I236" i="27"/>
  <c r="K236" i="27" s="1"/>
  <c r="I238" i="27"/>
  <c r="I239" i="27"/>
  <c r="K239" i="27" s="1"/>
  <c r="I240" i="27"/>
  <c r="K240" i="27" s="1"/>
  <c r="I241" i="27"/>
  <c r="K241" i="27" s="1"/>
  <c r="I242" i="27"/>
  <c r="I243" i="27"/>
  <c r="K243" i="27" s="1"/>
  <c r="I244" i="27"/>
  <c r="K244" i="27" s="1"/>
  <c r="I245" i="27"/>
  <c r="K245" i="27" s="1"/>
  <c r="I246" i="27"/>
  <c r="I247" i="27"/>
  <c r="K247" i="27" s="1"/>
  <c r="I248" i="27"/>
  <c r="K248" i="27" s="1"/>
  <c r="I250" i="27"/>
  <c r="I251" i="27"/>
  <c r="I252" i="27"/>
  <c r="K252" i="27" s="1"/>
  <c r="I253" i="27"/>
  <c r="K253" i="27" s="1"/>
  <c r="I254" i="27"/>
  <c r="K254" i="27" s="1"/>
  <c r="I255" i="27"/>
  <c r="I256" i="27"/>
  <c r="K256" i="27" s="1"/>
  <c r="I258" i="27"/>
  <c r="K258" i="27" s="1"/>
  <c r="I259" i="27"/>
  <c r="K259" i="27" s="1"/>
  <c r="I260" i="27"/>
  <c r="K260" i="27" s="1"/>
  <c r="I261" i="27"/>
  <c r="K261" i="27" s="1"/>
  <c r="I262" i="27"/>
  <c r="K262" i="27" s="1"/>
  <c r="I263" i="27"/>
  <c r="K263" i="27" s="1"/>
  <c r="I264" i="27"/>
  <c r="I265" i="27"/>
  <c r="K265" i="27" s="1"/>
  <c r="I266" i="27"/>
  <c r="K266" i="27" s="1"/>
  <c r="I267" i="27"/>
  <c r="K267" i="27" s="1"/>
  <c r="I268" i="27"/>
  <c r="K268" i="27" s="1"/>
  <c r="I269" i="27"/>
  <c r="I270" i="27"/>
  <c r="K270" i="27" s="1"/>
  <c r="I271" i="27"/>
  <c r="K271" i="27" s="1"/>
  <c r="I272" i="27"/>
  <c r="K272" i="27" s="1"/>
  <c r="I273" i="27"/>
  <c r="K273" i="27" s="1"/>
  <c r="I274" i="27"/>
  <c r="K274" i="27" s="1"/>
  <c r="I275" i="27"/>
  <c r="K275" i="27" s="1"/>
  <c r="I276" i="27"/>
  <c r="K276" i="27" s="1"/>
  <c r="I277" i="27"/>
  <c r="K277" i="27" s="1"/>
  <c r="I278" i="27"/>
  <c r="K278" i="27" s="1"/>
  <c r="I279" i="27"/>
  <c r="K279" i="27" s="1"/>
  <c r="I280" i="27"/>
  <c r="I281" i="27"/>
  <c r="K281" i="27" s="1"/>
  <c r="I282" i="27"/>
  <c r="K282" i="27" s="1"/>
  <c r="I283" i="27"/>
  <c r="K283" i="27" s="1"/>
  <c r="I284" i="27"/>
  <c r="K284" i="27" s="1"/>
  <c r="I288" i="27"/>
  <c r="I289" i="27"/>
  <c r="K289" i="27" s="1"/>
  <c r="I290" i="27"/>
  <c r="K290" i="27" s="1"/>
  <c r="I291" i="27"/>
  <c r="K291" i="27" s="1"/>
  <c r="I292" i="27"/>
  <c r="K292" i="27" s="1"/>
  <c r="I294" i="27"/>
  <c r="I295" i="27"/>
  <c r="I297" i="27"/>
  <c r="K297" i="27" s="1"/>
  <c r="I298" i="27"/>
  <c r="K298" i="27" s="1"/>
  <c r="I300" i="27"/>
  <c r="I301" i="27"/>
  <c r="I302" i="27"/>
  <c r="I303" i="27"/>
  <c r="K303" i="27" s="1"/>
  <c r="I304" i="27"/>
  <c r="K304" i="27" s="1"/>
  <c r="I305" i="27"/>
  <c r="K305" i="27" s="1"/>
  <c r="I308" i="27"/>
  <c r="I309" i="27"/>
  <c r="I311" i="27"/>
  <c r="I312" i="27"/>
  <c r="I313" i="27"/>
  <c r="I314" i="27"/>
  <c r="K56" i="27"/>
  <c r="K86" i="27"/>
  <c r="K88" i="27"/>
  <c r="K89" i="27"/>
  <c r="K128" i="27"/>
  <c r="K160" i="27"/>
  <c r="K242" i="27"/>
  <c r="K251" i="27"/>
  <c r="K12" i="27"/>
  <c r="K13" i="27"/>
  <c r="K37" i="27"/>
  <c r="K78" i="27"/>
  <c r="K136" i="27"/>
  <c r="K182" i="27"/>
  <c r="K208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7" i="27"/>
  <c r="H198" i="27"/>
  <c r="H199" i="27"/>
  <c r="H200" i="27"/>
  <c r="H201" i="27"/>
  <c r="H203" i="27"/>
  <c r="H204" i="27"/>
  <c r="H205" i="27"/>
  <c r="H206" i="27"/>
  <c r="H207" i="27"/>
  <c r="H208" i="27"/>
  <c r="H209" i="27" s="1"/>
  <c r="H210" i="27"/>
  <c r="H211" i="27"/>
  <c r="H212" i="27"/>
  <c r="H213" i="27"/>
  <c r="H214" i="27"/>
  <c r="H215" i="27"/>
  <c r="H216" i="27"/>
  <c r="H217" i="27"/>
  <c r="H218" i="27"/>
  <c r="H219" i="27"/>
  <c r="H220" i="27"/>
  <c r="H221" i="27"/>
  <c r="H222" i="27"/>
  <c r="H223" i="27"/>
  <c r="H224" i="27"/>
  <c r="H225" i="27"/>
  <c r="H226" i="27"/>
  <c r="H227" i="27"/>
  <c r="H228" i="27"/>
  <c r="H229" i="27"/>
  <c r="H230" i="27"/>
  <c r="H231" i="27"/>
  <c r="H232" i="27"/>
  <c r="H233" i="27"/>
  <c r="H234" i="27"/>
  <c r="H235" i="27"/>
  <c r="H238" i="27"/>
  <c r="H239" i="27"/>
  <c r="H240" i="27"/>
  <c r="H241" i="27"/>
  <c r="H242" i="27"/>
  <c r="H243" i="27"/>
  <c r="H244" i="27"/>
  <c r="H245" i="27"/>
  <c r="H246" i="27"/>
  <c r="H247" i="27"/>
  <c r="H248" i="27"/>
  <c r="H250" i="27"/>
  <c r="H251" i="27"/>
  <c r="H252" i="27"/>
  <c r="H253" i="27"/>
  <c r="H254" i="27"/>
  <c r="H255" i="27"/>
  <c r="H256" i="27"/>
  <c r="H257" i="27" s="1"/>
  <c r="H259" i="27"/>
  <c r="H260" i="27"/>
  <c r="H261" i="27"/>
  <c r="H262" i="27"/>
  <c r="H263" i="27"/>
  <c r="H264" i="27"/>
  <c r="H265" i="27"/>
  <c r="H266" i="27"/>
  <c r="H267" i="27"/>
  <c r="H268" i="27"/>
  <c r="H269" i="27"/>
  <c r="H270" i="27"/>
  <c r="H271" i="27"/>
  <c r="H272" i="27"/>
  <c r="H273" i="27"/>
  <c r="H274" i="27"/>
  <c r="H275" i="27"/>
  <c r="H276" i="27"/>
  <c r="H277" i="27"/>
  <c r="H278" i="27"/>
  <c r="H279" i="27"/>
  <c r="H280" i="27"/>
  <c r="H281" i="27"/>
  <c r="H282" i="27"/>
  <c r="H283" i="27"/>
  <c r="H284" i="27"/>
  <c r="H288" i="27"/>
  <c r="H289" i="27"/>
  <c r="H290" i="27"/>
  <c r="H291" i="27"/>
  <c r="H292" i="27"/>
  <c r="H294" i="27"/>
  <c r="H295" i="27"/>
  <c r="H297" i="27"/>
  <c r="H298" i="27"/>
  <c r="H300" i="27"/>
  <c r="H301" i="27"/>
  <c r="H302" i="27"/>
  <c r="H303" i="27"/>
  <c r="H304" i="27"/>
  <c r="H305" i="27"/>
  <c r="H308" i="27"/>
  <c r="H309" i="27"/>
  <c r="H311" i="27"/>
  <c r="H312" i="27"/>
  <c r="H313" i="27"/>
  <c r="H314" i="27"/>
  <c r="G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7" i="27"/>
  <c r="G68" i="27"/>
  <c r="G69" i="27"/>
  <c r="G70" i="27"/>
  <c r="G71" i="27"/>
  <c r="G72" i="27"/>
  <c r="G73" i="27"/>
  <c r="G74" i="27"/>
  <c r="G76" i="27"/>
  <c r="G77" i="27"/>
  <c r="G78" i="27"/>
  <c r="G79" i="27"/>
  <c r="G80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203" i="27"/>
  <c r="G204" i="27"/>
  <c r="G205" i="27"/>
  <c r="G206" i="27"/>
  <c r="G207" i="27"/>
  <c r="G208" i="27"/>
  <c r="G209" i="27" s="1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26" i="27"/>
  <c r="G227" i="27"/>
  <c r="G228" i="27"/>
  <c r="G229" i="27"/>
  <c r="G230" i="27"/>
  <c r="G231" i="27"/>
  <c r="G232" i="27"/>
  <c r="G233" i="27"/>
  <c r="G234" i="27"/>
  <c r="G235" i="27"/>
  <c r="G238" i="27"/>
  <c r="G239" i="27"/>
  <c r="G240" i="27"/>
  <c r="G241" i="27"/>
  <c r="G242" i="27"/>
  <c r="G243" i="27"/>
  <c r="G244" i="27"/>
  <c r="G245" i="27"/>
  <c r="G246" i="27"/>
  <c r="G247" i="27"/>
  <c r="G248" i="27"/>
  <c r="G250" i="27"/>
  <c r="G251" i="27"/>
  <c r="G252" i="27"/>
  <c r="G253" i="27"/>
  <c r="G254" i="27"/>
  <c r="G255" i="27"/>
  <c r="G256" i="27"/>
  <c r="G257" i="27" s="1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74" i="27"/>
  <c r="G275" i="27"/>
  <c r="G276" i="27"/>
  <c r="G277" i="27"/>
  <c r="G278" i="27"/>
  <c r="G279" i="27"/>
  <c r="G280" i="27"/>
  <c r="G281" i="27"/>
  <c r="G282" i="27"/>
  <c r="G283" i="27"/>
  <c r="G284" i="27"/>
  <c r="G288" i="27"/>
  <c r="G289" i="27"/>
  <c r="G290" i="27"/>
  <c r="G291" i="27"/>
  <c r="G292" i="27"/>
  <c r="G294" i="27"/>
  <c r="G295" i="27"/>
  <c r="G297" i="27"/>
  <c r="G298" i="27"/>
  <c r="G300" i="27"/>
  <c r="G301" i="27"/>
  <c r="G302" i="27"/>
  <c r="G303" i="27"/>
  <c r="G304" i="27"/>
  <c r="G305" i="27"/>
  <c r="G308" i="27"/>
  <c r="G309" i="27"/>
  <c r="G311" i="27"/>
  <c r="G312" i="27"/>
  <c r="G313" i="27"/>
  <c r="G314" i="27"/>
  <c r="F314" i="27"/>
  <c r="F313" i="27"/>
  <c r="F312" i="27"/>
  <c r="F311" i="27"/>
  <c r="E311" i="27"/>
  <c r="F309" i="27"/>
  <c r="F308" i="27"/>
  <c r="F305" i="27"/>
  <c r="F304" i="27"/>
  <c r="F303" i="27"/>
  <c r="F302" i="27"/>
  <c r="F301" i="27"/>
  <c r="F300" i="27"/>
  <c r="F298" i="27"/>
  <c r="F297" i="27"/>
  <c r="F295" i="27"/>
  <c r="F294" i="27"/>
  <c r="E294" i="27"/>
  <c r="F292" i="27"/>
  <c r="F291" i="27"/>
  <c r="F290" i="27"/>
  <c r="F289" i="27"/>
  <c r="F288" i="27"/>
  <c r="F284" i="27"/>
  <c r="F283" i="27"/>
  <c r="F282" i="27"/>
  <c r="F281" i="27"/>
  <c r="F280" i="27"/>
  <c r="F279" i="27"/>
  <c r="F278" i="27"/>
  <c r="F277" i="27"/>
  <c r="F276" i="27"/>
  <c r="F275" i="27"/>
  <c r="F274" i="27"/>
  <c r="F273" i="27"/>
  <c r="F272" i="27"/>
  <c r="F271" i="27"/>
  <c r="F270" i="27"/>
  <c r="F268" i="27"/>
  <c r="F267" i="27"/>
  <c r="F266" i="27"/>
  <c r="F265" i="27"/>
  <c r="F264" i="27"/>
  <c r="F263" i="27"/>
  <c r="F262" i="27"/>
  <c r="F261" i="27"/>
  <c r="F260" i="27"/>
  <c r="F259" i="27"/>
  <c r="F256" i="27"/>
  <c r="F255" i="27"/>
  <c r="F254" i="27"/>
  <c r="F253" i="27"/>
  <c r="F252" i="27"/>
  <c r="F251" i="27"/>
  <c r="F250" i="27"/>
  <c r="F248" i="27"/>
  <c r="F247" i="27"/>
  <c r="F246" i="27"/>
  <c r="F245" i="27"/>
  <c r="F244" i="27"/>
  <c r="F243" i="27"/>
  <c r="F242" i="27"/>
  <c r="F241" i="27"/>
  <c r="F240" i="27"/>
  <c r="F239" i="27"/>
  <c r="F238" i="27"/>
  <c r="F235" i="27"/>
  <c r="F234" i="27"/>
  <c r="F233" i="27"/>
  <c r="F232" i="27"/>
  <c r="F231" i="27"/>
  <c r="F230" i="27"/>
  <c r="F229" i="27"/>
  <c r="F228" i="27"/>
  <c r="F227" i="27"/>
  <c r="F226" i="27"/>
  <c r="F225" i="27"/>
  <c r="F224" i="27"/>
  <c r="F223" i="27"/>
  <c r="F222" i="27"/>
  <c r="F221" i="27"/>
  <c r="F220" i="27"/>
  <c r="F219" i="27"/>
  <c r="F218" i="27"/>
  <c r="F217" i="27"/>
  <c r="F216" i="27"/>
  <c r="F215" i="27"/>
  <c r="F214" i="27"/>
  <c r="F213" i="27"/>
  <c r="F212" i="27"/>
  <c r="F211" i="27"/>
  <c r="F210" i="27"/>
  <c r="F208" i="27"/>
  <c r="F209" i="27" s="1"/>
  <c r="F207" i="27"/>
  <c r="F206" i="27"/>
  <c r="F205" i="27"/>
  <c r="F204" i="27"/>
  <c r="F203" i="27"/>
  <c r="F201" i="27"/>
  <c r="F200" i="27"/>
  <c r="F199" i="27"/>
  <c r="F198" i="27"/>
  <c r="F197" i="27"/>
  <c r="F195" i="27"/>
  <c r="F194" i="27"/>
  <c r="F193" i="27"/>
  <c r="F192" i="27"/>
  <c r="F191" i="27"/>
  <c r="F190" i="27"/>
  <c r="F189" i="27"/>
  <c r="F188" i="27"/>
  <c r="F187" i="27"/>
  <c r="F186" i="27"/>
  <c r="F185" i="27"/>
  <c r="F184" i="27"/>
  <c r="F183" i="27"/>
  <c r="F182" i="27"/>
  <c r="F181" i="27"/>
  <c r="F180" i="27"/>
  <c r="F179" i="27"/>
  <c r="F177" i="27"/>
  <c r="F176" i="27"/>
  <c r="F175" i="27"/>
  <c r="F173" i="27"/>
  <c r="F171" i="27"/>
  <c r="F170" i="27"/>
  <c r="F169" i="27"/>
  <c r="F168" i="27"/>
  <c r="F167" i="27"/>
  <c r="F166" i="27"/>
  <c r="F165" i="27"/>
  <c r="F164" i="27"/>
  <c r="F163" i="27"/>
  <c r="F162" i="27"/>
  <c r="F161" i="27"/>
  <c r="F160" i="27"/>
  <c r="F159" i="27"/>
  <c r="F158" i="27"/>
  <c r="F157" i="27"/>
  <c r="F155" i="27"/>
  <c r="F154" i="27"/>
  <c r="F153" i="27"/>
  <c r="F152" i="27"/>
  <c r="F147" i="27"/>
  <c r="F146" i="27"/>
  <c r="F145" i="27"/>
  <c r="F144" i="27"/>
  <c r="F143" i="27"/>
  <c r="F142" i="27"/>
  <c r="F141" i="27"/>
  <c r="F140" i="27"/>
  <c r="F139" i="27"/>
  <c r="F138" i="27"/>
  <c r="F137" i="27"/>
  <c r="F136" i="27"/>
  <c r="F135" i="27"/>
  <c r="F134" i="27"/>
  <c r="F133" i="27"/>
  <c r="F132" i="27"/>
  <c r="F131" i="27"/>
  <c r="F130" i="27"/>
  <c r="F129" i="27"/>
  <c r="F128" i="27"/>
  <c r="F127" i="27"/>
  <c r="F126" i="27"/>
  <c r="F125" i="27"/>
  <c r="F124" i="27"/>
  <c r="F123" i="27"/>
  <c r="F122" i="27"/>
  <c r="F121" i="27"/>
  <c r="F120" i="2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05" i="27"/>
  <c r="F104" i="27"/>
  <c r="F101" i="27"/>
  <c r="F100" i="27"/>
  <c r="F99" i="27"/>
  <c r="F98" i="27"/>
  <c r="F97" i="27"/>
  <c r="F96" i="27"/>
  <c r="F95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E82" i="27"/>
  <c r="F80" i="27"/>
  <c r="E80" i="27"/>
  <c r="F79" i="27"/>
  <c r="F78" i="27"/>
  <c r="F77" i="27"/>
  <c r="F76" i="27"/>
  <c r="E75" i="27"/>
  <c r="F68" i="27"/>
  <c r="F69" i="27"/>
  <c r="F70" i="27"/>
  <c r="F71" i="27"/>
  <c r="F72" i="27"/>
  <c r="F73" i="27"/>
  <c r="F74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5" i="27"/>
  <c r="E6" i="27"/>
  <c r="E5" i="27"/>
  <c r="K45" i="27"/>
  <c r="K53" i="27"/>
  <c r="K61" i="27"/>
  <c r="K77" i="27"/>
  <c r="K92" i="27"/>
  <c r="K121" i="27"/>
  <c r="K158" i="27"/>
  <c r="K166" i="27"/>
  <c r="K178" i="27"/>
  <c r="K186" i="27"/>
  <c r="K194" i="27"/>
  <c r="K225" i="27"/>
  <c r="K229" i="27"/>
  <c r="K233" i="27"/>
  <c r="K250" i="27"/>
  <c r="K302" i="27"/>
  <c r="E314" i="27"/>
  <c r="E313" i="27"/>
  <c r="E312" i="27"/>
  <c r="E309" i="27"/>
  <c r="E308" i="27"/>
  <c r="E305" i="27"/>
  <c r="E304" i="27"/>
  <c r="E303" i="27"/>
  <c r="E302" i="27"/>
  <c r="E301" i="27"/>
  <c r="E300" i="27"/>
  <c r="E298" i="27"/>
  <c r="E297" i="27"/>
  <c r="E295" i="27"/>
  <c r="E292" i="27"/>
  <c r="E291" i="27"/>
  <c r="E290" i="27"/>
  <c r="E289" i="27"/>
  <c r="E288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6" i="27"/>
  <c r="E255" i="27"/>
  <c r="E254" i="27"/>
  <c r="E253" i="27"/>
  <c r="E252" i="27"/>
  <c r="E251" i="27"/>
  <c r="E250" i="27"/>
  <c r="E248" i="27"/>
  <c r="E247" i="27"/>
  <c r="E246" i="27"/>
  <c r="E245" i="27"/>
  <c r="E244" i="27"/>
  <c r="E243" i="27"/>
  <c r="E242" i="27"/>
  <c r="E241" i="27"/>
  <c r="E240" i="27"/>
  <c r="E239" i="27"/>
  <c r="E238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8" i="27"/>
  <c r="E207" i="27"/>
  <c r="E206" i="27"/>
  <c r="E205" i="27"/>
  <c r="E204" i="27"/>
  <c r="E203" i="27"/>
  <c r="E201" i="27"/>
  <c r="E200" i="27"/>
  <c r="E199" i="27"/>
  <c r="E198" i="27"/>
  <c r="E197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79" i="27"/>
  <c r="E78" i="27"/>
  <c r="E77" i="27"/>
  <c r="E76" i="27"/>
  <c r="E74" i="27"/>
  <c r="E73" i="27"/>
  <c r="E72" i="27"/>
  <c r="E71" i="27"/>
  <c r="E70" i="27"/>
  <c r="E69" i="27"/>
  <c r="E68" i="27"/>
  <c r="E67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D312" i="27"/>
  <c r="D313" i="27"/>
  <c r="D314" i="27"/>
  <c r="D311" i="27"/>
  <c r="D309" i="27"/>
  <c r="D308" i="27"/>
  <c r="D301" i="27"/>
  <c r="D302" i="27"/>
  <c r="D303" i="27"/>
  <c r="D304" i="27"/>
  <c r="D305" i="27"/>
  <c r="D300" i="27"/>
  <c r="D298" i="27"/>
  <c r="D297" i="27"/>
  <c r="D295" i="27"/>
  <c r="D294" i="27"/>
  <c r="D289" i="27"/>
  <c r="D290" i="27"/>
  <c r="D291" i="27"/>
  <c r="D292" i="27"/>
  <c r="D288" i="27"/>
  <c r="D216" i="27"/>
  <c r="D217" i="27"/>
  <c r="D218" i="27"/>
  <c r="D219" i="27"/>
  <c r="D220" i="27"/>
  <c r="D221" i="27"/>
  <c r="D222" i="27"/>
  <c r="D223" i="27"/>
  <c r="D224" i="27"/>
  <c r="D225" i="27"/>
  <c r="D226" i="27"/>
  <c r="D227" i="27"/>
  <c r="D228" i="27"/>
  <c r="D229" i="27"/>
  <c r="D230" i="27"/>
  <c r="D231" i="27"/>
  <c r="D232" i="27"/>
  <c r="D233" i="27"/>
  <c r="D234" i="27"/>
  <c r="D235" i="27"/>
  <c r="D236" i="27"/>
  <c r="D238" i="27"/>
  <c r="D239" i="27"/>
  <c r="D240" i="27"/>
  <c r="D241" i="27"/>
  <c r="D242" i="27"/>
  <c r="D243" i="27"/>
  <c r="D244" i="27"/>
  <c r="D245" i="27"/>
  <c r="D246" i="27"/>
  <c r="D247" i="27"/>
  <c r="D248" i="27"/>
  <c r="D250" i="27"/>
  <c r="D251" i="27"/>
  <c r="D252" i="27"/>
  <c r="D253" i="27"/>
  <c r="D254" i="27"/>
  <c r="D255" i="27"/>
  <c r="D256" i="27"/>
  <c r="D258" i="27"/>
  <c r="D259" i="27"/>
  <c r="D260" i="27"/>
  <c r="D261" i="27"/>
  <c r="D262" i="27"/>
  <c r="D263" i="27"/>
  <c r="D264" i="27"/>
  <c r="D265" i="27"/>
  <c r="D266" i="27"/>
  <c r="D267" i="27"/>
  <c r="D268" i="27"/>
  <c r="D269" i="27"/>
  <c r="D270" i="27"/>
  <c r="D271" i="27"/>
  <c r="D272" i="27"/>
  <c r="D273" i="27"/>
  <c r="D274" i="27"/>
  <c r="D275" i="27"/>
  <c r="D276" i="27"/>
  <c r="D277" i="27"/>
  <c r="D278" i="27"/>
  <c r="D279" i="27"/>
  <c r="D280" i="27"/>
  <c r="D281" i="27"/>
  <c r="D282" i="27"/>
  <c r="D283" i="27"/>
  <c r="D284" i="27"/>
  <c r="D204" i="27"/>
  <c r="D205" i="27"/>
  <c r="D206" i="27"/>
  <c r="D207" i="27"/>
  <c r="D208" i="27"/>
  <c r="D210" i="27"/>
  <c r="D211" i="27"/>
  <c r="D212" i="27"/>
  <c r="D213" i="27"/>
  <c r="D214" i="27"/>
  <c r="D215" i="27"/>
  <c r="D203" i="27"/>
  <c r="D153" i="27"/>
  <c r="D154" i="27"/>
  <c r="D155" i="27"/>
  <c r="D156" i="27"/>
  <c r="D157" i="27"/>
  <c r="D158" i="27"/>
  <c r="D159" i="27"/>
  <c r="D160" i="27"/>
  <c r="D161" i="27"/>
  <c r="D162" i="27"/>
  <c r="D163" i="27"/>
  <c r="D164" i="27"/>
  <c r="D165" i="27"/>
  <c r="D166" i="27"/>
  <c r="D167" i="27"/>
  <c r="D168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89" i="27"/>
  <c r="D190" i="27"/>
  <c r="D191" i="27"/>
  <c r="D192" i="27"/>
  <c r="D193" i="27"/>
  <c r="D194" i="27"/>
  <c r="D195" i="27"/>
  <c r="D197" i="27"/>
  <c r="D198" i="27"/>
  <c r="D199" i="27"/>
  <c r="D200" i="27"/>
  <c r="D201" i="27"/>
  <c r="D152" i="27"/>
  <c r="D151" i="27"/>
  <c r="D150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47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04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82" i="27"/>
  <c r="D80" i="27"/>
  <c r="D79" i="27"/>
  <c r="D78" i="27"/>
  <c r="D77" i="27"/>
  <c r="D76" i="27"/>
  <c r="D75" i="27"/>
  <c r="D69" i="27"/>
  <c r="D70" i="27"/>
  <c r="D71" i="27"/>
  <c r="D72" i="27"/>
  <c r="D73" i="27"/>
  <c r="D74" i="27"/>
  <c r="D67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5" i="27"/>
  <c r="K309" i="27"/>
  <c r="K301" i="27"/>
  <c r="K295" i="27"/>
  <c r="K280" i="27"/>
  <c r="K264" i="27"/>
  <c r="K255" i="27"/>
  <c r="K246" i="27"/>
  <c r="K238" i="27"/>
  <c r="K221" i="27"/>
  <c r="K213" i="27"/>
  <c r="K204" i="27"/>
  <c r="K170" i="27"/>
  <c r="K162" i="27"/>
  <c r="K154" i="27"/>
  <c r="K150" i="27"/>
  <c r="K130" i="27"/>
  <c r="K122" i="27"/>
  <c r="K114" i="27"/>
  <c r="K106" i="27"/>
  <c r="K94" i="27"/>
  <c r="K64" i="27"/>
  <c r="K60" i="27"/>
  <c r="K16" i="27"/>
  <c r="J257" i="27" l="1"/>
  <c r="J209" i="27"/>
  <c r="J237" i="27"/>
  <c r="L249" i="27"/>
  <c r="H307" i="27"/>
  <c r="E296" i="27"/>
  <c r="E307" i="27"/>
  <c r="H293" i="27"/>
  <c r="I310" i="27"/>
  <c r="K310" i="27" s="1"/>
  <c r="D296" i="27"/>
  <c r="L94" i="27"/>
  <c r="G293" i="27"/>
  <c r="I293" i="27"/>
  <c r="K293" i="27" s="1"/>
  <c r="D293" i="27"/>
  <c r="G296" i="27"/>
  <c r="L124" i="27"/>
  <c r="L116" i="27"/>
  <c r="F299" i="27"/>
  <c r="F293" i="27"/>
  <c r="D310" i="27"/>
  <c r="L81" i="27"/>
  <c r="F296" i="27"/>
  <c r="J75" i="27"/>
  <c r="J80" i="27"/>
  <c r="K80" i="27" s="1"/>
  <c r="F307" i="27"/>
  <c r="H310" i="27"/>
  <c r="H296" i="27"/>
  <c r="D299" i="27"/>
  <c r="J151" i="27"/>
  <c r="J149" i="27" s="1"/>
  <c r="F310" i="27"/>
  <c r="I307" i="27"/>
  <c r="I296" i="27"/>
  <c r="K296" i="27" s="1"/>
  <c r="L69" i="27"/>
  <c r="E103" i="27"/>
  <c r="E287" i="27"/>
  <c r="E293" i="27"/>
  <c r="E310" i="27"/>
  <c r="G287" i="27"/>
  <c r="G4" i="27"/>
  <c r="H299" i="27"/>
  <c r="E4" i="27"/>
  <c r="H103" i="27"/>
  <c r="F4" i="27"/>
  <c r="G310" i="27"/>
  <c r="G299" i="27"/>
  <c r="G66" i="27"/>
  <c r="H287" i="27"/>
  <c r="H4" i="27"/>
  <c r="I299" i="27"/>
  <c r="K299" i="27" s="1"/>
  <c r="I287" i="27"/>
  <c r="K287" i="27" s="1"/>
  <c r="L170" i="27"/>
  <c r="E202" i="27"/>
  <c r="F103" i="27"/>
  <c r="F287" i="27"/>
  <c r="G307" i="27"/>
  <c r="G103" i="27"/>
  <c r="I202" i="27"/>
  <c r="I103" i="27"/>
  <c r="E299" i="27"/>
  <c r="H66" i="27"/>
  <c r="I66" i="27"/>
  <c r="K269" i="27"/>
  <c r="L269" i="27" s="1"/>
  <c r="I4" i="27"/>
  <c r="K105" i="27"/>
  <c r="L105" i="27" s="1"/>
  <c r="L31" i="27"/>
  <c r="L283" i="27"/>
  <c r="L224" i="27"/>
  <c r="L159" i="27"/>
  <c r="L108" i="27"/>
  <c r="L309" i="27"/>
  <c r="L270" i="27"/>
  <c r="L259" i="27"/>
  <c r="L79" i="27"/>
  <c r="L39" i="27"/>
  <c r="L278" i="27"/>
  <c r="L303" i="27"/>
  <c r="L164" i="27"/>
  <c r="L174" i="27"/>
  <c r="L157" i="27"/>
  <c r="L142" i="27"/>
  <c r="L82" i="27"/>
  <c r="E66" i="27"/>
  <c r="F66" i="27"/>
  <c r="L260" i="27"/>
  <c r="L222" i="27"/>
  <c r="L93" i="27"/>
  <c r="L141" i="27"/>
  <c r="L101" i="27"/>
  <c r="L191" i="27"/>
  <c r="L241" i="27"/>
  <c r="L111" i="27"/>
  <c r="L233" i="27"/>
  <c r="L302" i="27"/>
  <c r="L232" i="27"/>
  <c r="L220" i="27"/>
  <c r="L207" i="27"/>
  <c r="L195" i="27"/>
  <c r="L185" i="27"/>
  <c r="L15" i="27"/>
  <c r="L298" i="27"/>
  <c r="L268" i="27"/>
  <c r="L183" i="27"/>
  <c r="L127" i="27"/>
  <c r="L23" i="27"/>
  <c r="L106" i="27"/>
  <c r="L150" i="27"/>
  <c r="L267" i="27"/>
  <c r="L218" i="27"/>
  <c r="L205" i="27"/>
  <c r="L193" i="27"/>
  <c r="L180" i="27"/>
  <c r="L166" i="27"/>
  <c r="L155" i="27"/>
  <c r="L126" i="27"/>
  <c r="L113" i="27"/>
  <c r="L88" i="27"/>
  <c r="L123" i="27"/>
  <c r="L243" i="27"/>
  <c r="L295" i="27"/>
  <c r="L276" i="27"/>
  <c r="L62" i="27"/>
  <c r="L231" i="27"/>
  <c r="L228" i="27"/>
  <c r="L201" i="27"/>
  <c r="L208" i="27"/>
  <c r="L275" i="27"/>
  <c r="L200" i="27"/>
  <c r="L206" i="27"/>
  <c r="L169" i="27"/>
  <c r="L290" i="27"/>
  <c r="L153" i="27"/>
  <c r="L110" i="27"/>
  <c r="L176" i="27"/>
  <c r="L234" i="27"/>
  <c r="L262" i="27"/>
  <c r="L289" i="27"/>
  <c r="L251" i="27"/>
  <c r="L226" i="27"/>
  <c r="L216" i="27"/>
  <c r="L190" i="27"/>
  <c r="L152" i="27"/>
  <c r="L86" i="27"/>
  <c r="L114" i="27"/>
  <c r="L161" i="27"/>
  <c r="L284" i="27"/>
  <c r="L250" i="27"/>
  <c r="L239" i="27"/>
  <c r="L214" i="27"/>
  <c r="L189" i="27"/>
  <c r="L177" i="27"/>
  <c r="L163" i="27"/>
  <c r="L134" i="27"/>
  <c r="L121" i="27"/>
  <c r="L109" i="27"/>
  <c r="L96" i="27"/>
  <c r="L83" i="27"/>
  <c r="L71" i="27"/>
  <c r="L182" i="27"/>
  <c r="L305" i="27"/>
  <c r="L236" i="27"/>
  <c r="L198" i="27"/>
  <c r="L187" i="27"/>
  <c r="L70" i="27"/>
  <c r="L54" i="27"/>
  <c r="L118" i="27"/>
  <c r="L215" i="27"/>
  <c r="L210" i="27"/>
  <c r="L158" i="27"/>
  <c r="L131" i="27"/>
  <c r="L6" i="27"/>
  <c r="L132" i="27"/>
  <c r="K67" i="27"/>
  <c r="L67" i="27" s="1"/>
  <c r="K288" i="27"/>
  <c r="L288" i="27" s="1"/>
  <c r="K308" i="27"/>
  <c r="L308" i="27" s="1"/>
  <c r="K307" i="27"/>
  <c r="K5" i="27"/>
  <c r="L5" i="27" s="1"/>
  <c r="K300" i="27"/>
  <c r="L300" i="27" s="1"/>
  <c r="K294" i="27"/>
  <c r="L294" i="27" s="1"/>
  <c r="K203" i="27"/>
  <c r="L203" i="27" s="1"/>
  <c r="L90" i="27"/>
  <c r="L165" i="27"/>
  <c r="L173" i="27"/>
  <c r="L197" i="27"/>
  <c r="L129" i="27"/>
  <c r="L125" i="27"/>
  <c r="L225" i="27"/>
  <c r="L242" i="27"/>
  <c r="L98" i="27"/>
  <c r="L245" i="27"/>
  <c r="L117" i="27"/>
  <c r="L144" i="27"/>
  <c r="L304" i="27"/>
  <c r="L178" i="27"/>
  <c r="L122" i="27"/>
  <c r="L213" i="27"/>
  <c r="L255" i="27"/>
  <c r="L18" i="27"/>
  <c r="L26" i="27"/>
  <c r="L34" i="27"/>
  <c r="L42" i="27"/>
  <c r="L50" i="27"/>
  <c r="L58" i="27"/>
  <c r="L156" i="27"/>
  <c r="L181" i="27"/>
  <c r="L188" i="27"/>
  <c r="L301" i="27"/>
  <c r="L139" i="27"/>
  <c r="L254" i="27"/>
  <c r="L229" i="27"/>
  <c r="L192" i="27"/>
  <c r="L68" i="27"/>
  <c r="L76" i="27"/>
  <c r="L85" i="27"/>
  <c r="L91" i="27"/>
  <c r="L120" i="27"/>
  <c r="L140" i="27"/>
  <c r="L147" i="27"/>
  <c r="L171" i="27"/>
  <c r="L246" i="27"/>
  <c r="L263" i="27"/>
  <c r="L271" i="27"/>
  <c r="L279" i="27"/>
  <c r="L84" i="27"/>
  <c r="L104" i="27"/>
  <c r="L184" i="27"/>
  <c r="L217" i="27"/>
  <c r="L8" i="27"/>
  <c r="L16" i="27"/>
  <c r="L24" i="27"/>
  <c r="L32" i="27"/>
  <c r="L40" i="27"/>
  <c r="L48" i="27"/>
  <c r="L56" i="27"/>
  <c r="L64" i="27"/>
  <c r="L77" i="27"/>
  <c r="L92" i="27"/>
  <c r="L100" i="27"/>
  <c r="L133" i="27"/>
  <c r="L154" i="27"/>
  <c r="L160" i="27"/>
  <c r="L172" i="27"/>
  <c r="L179" i="27"/>
  <c r="L204" i="27"/>
  <c r="L219" i="27"/>
  <c r="L264" i="27"/>
  <c r="L280" i="27"/>
  <c r="L291" i="27"/>
  <c r="D307" i="27"/>
  <c r="L297" i="27"/>
  <c r="D287" i="27"/>
  <c r="L292" i="27"/>
  <c r="L240" i="27"/>
  <c r="L247" i="27"/>
  <c r="L272" i="27"/>
  <c r="L221" i="27"/>
  <c r="L227" i="27"/>
  <c r="L248" i="27"/>
  <c r="L256" i="27"/>
  <c r="L265" i="27"/>
  <c r="L273" i="27"/>
  <c r="L281" i="27"/>
  <c r="L258" i="27"/>
  <c r="L274" i="27"/>
  <c r="L223" i="27"/>
  <c r="L244" i="27"/>
  <c r="L252" i="27"/>
  <c r="L266" i="27"/>
  <c r="L282" i="27"/>
  <c r="L235" i="27"/>
  <c r="L230" i="27"/>
  <c r="L238" i="27"/>
  <c r="L253" i="27"/>
  <c r="L261" i="27"/>
  <c r="L277" i="27"/>
  <c r="L211" i="27"/>
  <c r="L212" i="27"/>
  <c r="D202" i="27"/>
  <c r="L167" i="27"/>
  <c r="L168" i="27"/>
  <c r="L186" i="27"/>
  <c r="L194" i="27"/>
  <c r="L162" i="27"/>
  <c r="L175" i="27"/>
  <c r="L199" i="27"/>
  <c r="L145" i="27"/>
  <c r="L146" i="27"/>
  <c r="L130" i="27"/>
  <c r="L137" i="27"/>
  <c r="L138" i="27"/>
  <c r="L135" i="27"/>
  <c r="L128" i="27"/>
  <c r="L136" i="27"/>
  <c r="L143" i="27"/>
  <c r="D103" i="27"/>
  <c r="L107" i="27"/>
  <c r="L115" i="27"/>
  <c r="L112" i="27"/>
  <c r="L119" i="27"/>
  <c r="L97" i="27"/>
  <c r="L99" i="27"/>
  <c r="L87" i="27"/>
  <c r="L95" i="27"/>
  <c r="L89" i="27"/>
  <c r="L78" i="27"/>
  <c r="D66" i="27"/>
  <c r="L74" i="27"/>
  <c r="L72" i="27"/>
  <c r="L73" i="27"/>
  <c r="L9" i="27"/>
  <c r="L17" i="27"/>
  <c r="L25" i="27"/>
  <c r="L33" i="27"/>
  <c r="L57" i="27"/>
  <c r="L65" i="27"/>
  <c r="L44" i="27"/>
  <c r="L60" i="27"/>
  <c r="L36" i="27"/>
  <c r="L52" i="27"/>
  <c r="L10" i="27"/>
  <c r="L7" i="27"/>
  <c r="L14" i="27"/>
  <c r="L22" i="27"/>
  <c r="L30" i="27"/>
  <c r="L63" i="27"/>
  <c r="L47" i="27"/>
  <c r="L55" i="27"/>
  <c r="L12" i="27"/>
  <c r="L20" i="27"/>
  <c r="L28" i="27"/>
  <c r="L19" i="27"/>
  <c r="L27" i="27"/>
  <c r="L35" i="27"/>
  <c r="L43" i="27"/>
  <c r="L51" i="27"/>
  <c r="L59" i="27"/>
  <c r="L11" i="27"/>
  <c r="L21" i="27"/>
  <c r="L29" i="27"/>
  <c r="L37" i="27"/>
  <c r="L45" i="27"/>
  <c r="L53" i="27"/>
  <c r="L61" i="27"/>
  <c r="L13" i="27"/>
  <c r="D4" i="27"/>
  <c r="L46" i="27"/>
  <c r="L49" i="27"/>
  <c r="L38" i="27"/>
  <c r="L41" i="27"/>
  <c r="D23" i="26"/>
  <c r="K75" i="27" l="1"/>
  <c r="L75" i="27" s="1"/>
  <c r="B2" i="28"/>
  <c r="L209" i="27"/>
  <c r="J202" i="27"/>
  <c r="L296" i="27"/>
  <c r="G102" i="27"/>
  <c r="G148" i="27"/>
  <c r="L310" i="27"/>
  <c r="J66" i="27"/>
  <c r="K66" i="27" s="1"/>
  <c r="L66" i="27" s="1"/>
  <c r="L293" i="27"/>
  <c r="H102" i="27"/>
  <c r="L299" i="27"/>
  <c r="H148" i="27"/>
  <c r="E148" i="27"/>
  <c r="L287" i="27"/>
  <c r="F102" i="27"/>
  <c r="F148" i="27"/>
  <c r="I148" i="27"/>
  <c r="K4" i="27"/>
  <c r="D102" i="27"/>
  <c r="D148" i="27"/>
  <c r="I102" i="27"/>
  <c r="L307" i="27"/>
  <c r="K151" i="27"/>
  <c r="L151" i="27" s="1"/>
  <c r="E102" i="27"/>
  <c r="L80" i="27"/>
  <c r="K103" i="27"/>
  <c r="L103" i="27" s="1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2" i="26"/>
  <c r="D31" i="26"/>
  <c r="D30" i="26"/>
  <c r="D29" i="26"/>
  <c r="D28" i="26"/>
  <c r="D27" i="26"/>
  <c r="D26" i="26"/>
  <c r="D25" i="26"/>
  <c r="D24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4" i="26" s="1"/>
  <c r="D9" i="26"/>
  <c r="D8" i="26"/>
  <c r="D6" i="26"/>
  <c r="D5" i="26"/>
  <c r="I307" i="26"/>
  <c r="K307" i="26" s="1"/>
  <c r="H307" i="26"/>
  <c r="G307" i="26"/>
  <c r="F307" i="26"/>
  <c r="E307" i="26"/>
  <c r="D307" i="26"/>
  <c r="K306" i="26"/>
  <c r="L306" i="26" s="1"/>
  <c r="K305" i="26"/>
  <c r="L305" i="26" s="1"/>
  <c r="I304" i="26"/>
  <c r="K304" i="26" s="1"/>
  <c r="H304" i="26"/>
  <c r="G304" i="26"/>
  <c r="F304" i="26"/>
  <c r="E304" i="26"/>
  <c r="D304" i="26"/>
  <c r="K302" i="26"/>
  <c r="L302" i="26" s="1"/>
  <c r="K301" i="26"/>
  <c r="L301" i="26" s="1"/>
  <c r="K300" i="26"/>
  <c r="L300" i="26" s="1"/>
  <c r="K299" i="26"/>
  <c r="L299" i="26" s="1"/>
  <c r="K298" i="26"/>
  <c r="L298" i="26" s="1"/>
  <c r="K297" i="26"/>
  <c r="L297" i="26" s="1"/>
  <c r="I296" i="26"/>
  <c r="K296" i="26" s="1"/>
  <c r="H296" i="26"/>
  <c r="G296" i="26"/>
  <c r="F296" i="26"/>
  <c r="E296" i="26"/>
  <c r="D296" i="26"/>
  <c r="K295" i="26"/>
  <c r="L295" i="26" s="1"/>
  <c r="K294" i="26"/>
  <c r="L294" i="26" s="1"/>
  <c r="I293" i="26"/>
  <c r="K293" i="26" s="1"/>
  <c r="H293" i="26"/>
  <c r="G293" i="26"/>
  <c r="F293" i="26"/>
  <c r="E293" i="26"/>
  <c r="D293" i="26"/>
  <c r="K292" i="26"/>
  <c r="L292" i="26" s="1"/>
  <c r="K291" i="26"/>
  <c r="L291" i="26" s="1"/>
  <c r="I290" i="26"/>
  <c r="K290" i="26" s="1"/>
  <c r="H290" i="26"/>
  <c r="G290" i="26"/>
  <c r="F290" i="26"/>
  <c r="E290" i="26"/>
  <c r="D290" i="26"/>
  <c r="K289" i="26"/>
  <c r="L289" i="26" s="1"/>
  <c r="K288" i="26"/>
  <c r="L288" i="26" s="1"/>
  <c r="K287" i="26"/>
  <c r="L287" i="26" s="1"/>
  <c r="K286" i="26"/>
  <c r="L286" i="26" s="1"/>
  <c r="K285" i="26"/>
  <c r="L285" i="26" s="1"/>
  <c r="I284" i="26"/>
  <c r="K284" i="26" s="1"/>
  <c r="H284" i="26"/>
  <c r="G284" i="26"/>
  <c r="F284" i="26"/>
  <c r="E284" i="26"/>
  <c r="D284" i="26"/>
  <c r="H281" i="26"/>
  <c r="G281" i="26"/>
  <c r="F281" i="26"/>
  <c r="K280" i="26"/>
  <c r="L280" i="26" s="1"/>
  <c r="K279" i="26"/>
  <c r="L279" i="26" s="1"/>
  <c r="K278" i="26"/>
  <c r="L278" i="26" s="1"/>
  <c r="K277" i="26"/>
  <c r="L277" i="26" s="1"/>
  <c r="K276" i="26"/>
  <c r="L276" i="26" s="1"/>
  <c r="K275" i="26"/>
  <c r="L275" i="26" s="1"/>
  <c r="K274" i="26"/>
  <c r="L274" i="26" s="1"/>
  <c r="K273" i="26"/>
  <c r="L273" i="26" s="1"/>
  <c r="K272" i="26"/>
  <c r="L272" i="26" s="1"/>
  <c r="K271" i="26"/>
  <c r="L271" i="26" s="1"/>
  <c r="K270" i="26"/>
  <c r="L270" i="26" s="1"/>
  <c r="K269" i="26"/>
  <c r="L269" i="26" s="1"/>
  <c r="K268" i="26"/>
  <c r="L268" i="26" s="1"/>
  <c r="K267" i="26"/>
  <c r="L267" i="26" s="1"/>
  <c r="K266" i="26"/>
  <c r="L266" i="26" s="1"/>
  <c r="K265" i="26"/>
  <c r="L265" i="26" s="1"/>
  <c r="K264" i="26"/>
  <c r="L264" i="26" s="1"/>
  <c r="K263" i="26"/>
  <c r="L263" i="26" s="1"/>
  <c r="K262" i="26"/>
  <c r="L262" i="26" s="1"/>
  <c r="K261" i="26"/>
  <c r="L261" i="26" s="1"/>
  <c r="K260" i="26"/>
  <c r="L260" i="26" s="1"/>
  <c r="K259" i="26"/>
  <c r="L259" i="26" s="1"/>
  <c r="K258" i="26"/>
  <c r="L258" i="26" s="1"/>
  <c r="K257" i="26"/>
  <c r="L257" i="26" s="1"/>
  <c r="K256" i="26"/>
  <c r="L256" i="26" s="1"/>
  <c r="K255" i="26"/>
  <c r="L255" i="26" s="1"/>
  <c r="K254" i="26"/>
  <c r="L254" i="26" s="1"/>
  <c r="K253" i="26"/>
  <c r="L253" i="26" s="1"/>
  <c r="K252" i="26"/>
  <c r="L252" i="26" s="1"/>
  <c r="K251" i="26"/>
  <c r="L251" i="26" s="1"/>
  <c r="K250" i="26"/>
  <c r="L250" i="26" s="1"/>
  <c r="K249" i="26"/>
  <c r="L249" i="26" s="1"/>
  <c r="K248" i="26"/>
  <c r="L248" i="26" s="1"/>
  <c r="K247" i="26"/>
  <c r="L247" i="26" s="1"/>
  <c r="K246" i="26"/>
  <c r="L246" i="26" s="1"/>
  <c r="K245" i="26"/>
  <c r="L245" i="26" s="1"/>
  <c r="K244" i="26"/>
  <c r="L244" i="26" s="1"/>
  <c r="K243" i="26"/>
  <c r="L243" i="26" s="1"/>
  <c r="K242" i="26"/>
  <c r="L242" i="26" s="1"/>
  <c r="K241" i="26"/>
  <c r="L241" i="26" s="1"/>
  <c r="K240" i="26"/>
  <c r="L240" i="26" s="1"/>
  <c r="K239" i="26"/>
  <c r="L239" i="26" s="1"/>
  <c r="K238" i="26"/>
  <c r="L238" i="26" s="1"/>
  <c r="K237" i="26"/>
  <c r="L237" i="26" s="1"/>
  <c r="K236" i="26"/>
  <c r="L236" i="26" s="1"/>
  <c r="K235" i="26"/>
  <c r="L235" i="26" s="1"/>
  <c r="K234" i="26"/>
  <c r="L234" i="26" s="1"/>
  <c r="K233" i="26"/>
  <c r="L233" i="26" s="1"/>
  <c r="K232" i="26"/>
  <c r="L232" i="26" s="1"/>
  <c r="K231" i="26"/>
  <c r="L231" i="26" s="1"/>
  <c r="K230" i="26"/>
  <c r="L230" i="26" s="1"/>
  <c r="K229" i="26"/>
  <c r="L229" i="26" s="1"/>
  <c r="K228" i="26"/>
  <c r="L228" i="26" s="1"/>
  <c r="K227" i="26"/>
  <c r="L227" i="26" s="1"/>
  <c r="K226" i="26"/>
  <c r="L226" i="26" s="1"/>
  <c r="K225" i="26"/>
  <c r="L225" i="26" s="1"/>
  <c r="K224" i="26"/>
  <c r="L224" i="26" s="1"/>
  <c r="K223" i="26"/>
  <c r="L223" i="26" s="1"/>
  <c r="K222" i="26"/>
  <c r="L222" i="26" s="1"/>
  <c r="K221" i="26"/>
  <c r="L221" i="26" s="1"/>
  <c r="K220" i="26"/>
  <c r="L220" i="26" s="1"/>
  <c r="K219" i="26"/>
  <c r="L219" i="26" s="1"/>
  <c r="K218" i="26"/>
  <c r="L218" i="26" s="1"/>
  <c r="K217" i="26"/>
  <c r="L217" i="26" s="1"/>
  <c r="K216" i="26"/>
  <c r="L216" i="26" s="1"/>
  <c r="K215" i="26"/>
  <c r="L215" i="26" s="1"/>
  <c r="K214" i="26"/>
  <c r="L214" i="26" s="1"/>
  <c r="K213" i="26"/>
  <c r="L213" i="26" s="1"/>
  <c r="K212" i="26"/>
  <c r="L212" i="26" s="1"/>
  <c r="K211" i="26"/>
  <c r="L211" i="26" s="1"/>
  <c r="K210" i="26"/>
  <c r="L210" i="26" s="1"/>
  <c r="K209" i="26"/>
  <c r="L209" i="26" s="1"/>
  <c r="K208" i="26"/>
  <c r="L208" i="26" s="1"/>
  <c r="K207" i="26"/>
  <c r="L207" i="26" s="1"/>
  <c r="K206" i="26"/>
  <c r="L206" i="26" s="1"/>
  <c r="K205" i="26"/>
  <c r="L205" i="26" s="1"/>
  <c r="K204" i="26"/>
  <c r="L204" i="26" s="1"/>
  <c r="K203" i="26"/>
  <c r="L203" i="26" s="1"/>
  <c r="I202" i="26"/>
  <c r="E202" i="26"/>
  <c r="D202" i="26"/>
  <c r="K201" i="26"/>
  <c r="L201" i="26" s="1"/>
  <c r="K200" i="26"/>
  <c r="L200" i="26" s="1"/>
  <c r="K199" i="26"/>
  <c r="L199" i="26" s="1"/>
  <c r="K198" i="26"/>
  <c r="L198" i="26" s="1"/>
  <c r="K197" i="26"/>
  <c r="L197" i="26" s="1"/>
  <c r="I196" i="26"/>
  <c r="H196" i="26"/>
  <c r="H196" i="27" s="1"/>
  <c r="F196" i="26"/>
  <c r="F196" i="27" s="1"/>
  <c r="E196" i="26"/>
  <c r="E196" i="27" s="1"/>
  <c r="D196" i="26"/>
  <c r="D196" i="27" s="1"/>
  <c r="K195" i="26"/>
  <c r="L195" i="26" s="1"/>
  <c r="K194" i="26"/>
  <c r="L194" i="26" s="1"/>
  <c r="K193" i="26"/>
  <c r="L193" i="26" s="1"/>
  <c r="K192" i="26"/>
  <c r="L192" i="26" s="1"/>
  <c r="K191" i="26"/>
  <c r="L191" i="26" s="1"/>
  <c r="K190" i="26"/>
  <c r="L190" i="26" s="1"/>
  <c r="K189" i="26"/>
  <c r="L189" i="26" s="1"/>
  <c r="K188" i="26"/>
  <c r="L188" i="26" s="1"/>
  <c r="K187" i="26"/>
  <c r="L187" i="26" s="1"/>
  <c r="K186" i="26"/>
  <c r="L186" i="26" s="1"/>
  <c r="K185" i="26"/>
  <c r="L185" i="26" s="1"/>
  <c r="K184" i="26"/>
  <c r="L184" i="26" s="1"/>
  <c r="K183" i="26"/>
  <c r="L183" i="26" s="1"/>
  <c r="K182" i="26"/>
  <c r="L182" i="26" s="1"/>
  <c r="K181" i="26"/>
  <c r="L181" i="26" s="1"/>
  <c r="K180" i="26"/>
  <c r="L180" i="26" s="1"/>
  <c r="K179" i="26"/>
  <c r="L179" i="26" s="1"/>
  <c r="K178" i="26"/>
  <c r="L178" i="26" s="1"/>
  <c r="K177" i="26"/>
  <c r="L177" i="26" s="1"/>
  <c r="K176" i="26"/>
  <c r="L176" i="26" s="1"/>
  <c r="K175" i="26"/>
  <c r="L175" i="26" s="1"/>
  <c r="K174" i="26"/>
  <c r="L174" i="26" s="1"/>
  <c r="K173" i="26"/>
  <c r="L173" i="26" s="1"/>
  <c r="K172" i="26"/>
  <c r="L172" i="26" s="1"/>
  <c r="K171" i="26"/>
  <c r="L171" i="26" s="1"/>
  <c r="K170" i="26"/>
  <c r="L170" i="26" s="1"/>
  <c r="K169" i="26"/>
  <c r="L169" i="26" s="1"/>
  <c r="K168" i="26"/>
  <c r="L168" i="26" s="1"/>
  <c r="K167" i="26"/>
  <c r="L167" i="26" s="1"/>
  <c r="K166" i="26"/>
  <c r="L166" i="26" s="1"/>
  <c r="K165" i="26"/>
  <c r="L165" i="26" s="1"/>
  <c r="K164" i="26"/>
  <c r="L164" i="26" s="1"/>
  <c r="K163" i="26"/>
  <c r="L163" i="26" s="1"/>
  <c r="K162" i="26"/>
  <c r="L162" i="26" s="1"/>
  <c r="K161" i="26"/>
  <c r="L161" i="26" s="1"/>
  <c r="K160" i="26"/>
  <c r="L160" i="26" s="1"/>
  <c r="K159" i="26"/>
  <c r="L159" i="26" s="1"/>
  <c r="K158" i="26"/>
  <c r="L158" i="26" s="1"/>
  <c r="K157" i="26"/>
  <c r="L157" i="26" s="1"/>
  <c r="K156" i="26"/>
  <c r="L156" i="26" s="1"/>
  <c r="K155" i="26"/>
  <c r="L155" i="26" s="1"/>
  <c r="K154" i="26"/>
  <c r="L154" i="26" s="1"/>
  <c r="K153" i="26"/>
  <c r="L153" i="26" s="1"/>
  <c r="K152" i="26"/>
  <c r="L152" i="26" s="1"/>
  <c r="H149" i="26"/>
  <c r="H149" i="27" s="1"/>
  <c r="G149" i="26"/>
  <c r="G149" i="27" s="1"/>
  <c r="K150" i="26"/>
  <c r="L150" i="26" s="1"/>
  <c r="I149" i="26"/>
  <c r="I149" i="27" s="1"/>
  <c r="K149" i="27" s="1"/>
  <c r="F149" i="26"/>
  <c r="F149" i="27" s="1"/>
  <c r="E149" i="26"/>
  <c r="E149" i="27" s="1"/>
  <c r="E285" i="27" s="1"/>
  <c r="D149" i="26"/>
  <c r="D149" i="27" s="1"/>
  <c r="K147" i="26"/>
  <c r="L147" i="26" s="1"/>
  <c r="K146" i="26"/>
  <c r="L146" i="26" s="1"/>
  <c r="K145" i="26"/>
  <c r="L145" i="26" s="1"/>
  <c r="K144" i="26"/>
  <c r="L144" i="26" s="1"/>
  <c r="K143" i="26"/>
  <c r="L143" i="26" s="1"/>
  <c r="K142" i="26"/>
  <c r="L142" i="26" s="1"/>
  <c r="K141" i="26"/>
  <c r="L141" i="26" s="1"/>
  <c r="K140" i="26"/>
  <c r="L140" i="26" s="1"/>
  <c r="K139" i="26"/>
  <c r="L139" i="26" s="1"/>
  <c r="K138" i="26"/>
  <c r="L138" i="26" s="1"/>
  <c r="K137" i="26"/>
  <c r="L137" i="26" s="1"/>
  <c r="K136" i="26"/>
  <c r="L136" i="26" s="1"/>
  <c r="K135" i="26"/>
  <c r="L135" i="26" s="1"/>
  <c r="K134" i="26"/>
  <c r="L134" i="26" s="1"/>
  <c r="K133" i="26"/>
  <c r="L133" i="26" s="1"/>
  <c r="K132" i="26"/>
  <c r="L132" i="26" s="1"/>
  <c r="K131" i="26"/>
  <c r="L131" i="26" s="1"/>
  <c r="K130" i="26"/>
  <c r="L130" i="26" s="1"/>
  <c r="K129" i="26"/>
  <c r="L129" i="26" s="1"/>
  <c r="K128" i="26"/>
  <c r="L128" i="26" s="1"/>
  <c r="K127" i="26"/>
  <c r="L127" i="26" s="1"/>
  <c r="F103" i="26"/>
  <c r="E103" i="26"/>
  <c r="K126" i="26"/>
  <c r="L126" i="26" s="1"/>
  <c r="K125" i="26"/>
  <c r="L125" i="26" s="1"/>
  <c r="K124" i="26"/>
  <c r="L124" i="26" s="1"/>
  <c r="K123" i="26"/>
  <c r="L123" i="26" s="1"/>
  <c r="K122" i="26"/>
  <c r="L122" i="26" s="1"/>
  <c r="K121" i="26"/>
  <c r="L121" i="26" s="1"/>
  <c r="K120" i="26"/>
  <c r="L120" i="26" s="1"/>
  <c r="K119" i="26"/>
  <c r="L119" i="26" s="1"/>
  <c r="K118" i="26"/>
  <c r="L118" i="26" s="1"/>
  <c r="K117" i="26"/>
  <c r="L117" i="26" s="1"/>
  <c r="K116" i="26"/>
  <c r="L116" i="26" s="1"/>
  <c r="K115" i="26"/>
  <c r="L115" i="26" s="1"/>
  <c r="K114" i="26"/>
  <c r="L114" i="26" s="1"/>
  <c r="K113" i="26"/>
  <c r="L113" i="26" s="1"/>
  <c r="K112" i="26"/>
  <c r="L112" i="26" s="1"/>
  <c r="K111" i="26"/>
  <c r="L111" i="26" s="1"/>
  <c r="K110" i="26"/>
  <c r="L110" i="26" s="1"/>
  <c r="K109" i="26"/>
  <c r="L109" i="26" s="1"/>
  <c r="K108" i="26"/>
  <c r="L108" i="26" s="1"/>
  <c r="K107" i="26"/>
  <c r="L107" i="26" s="1"/>
  <c r="K106" i="26"/>
  <c r="L106" i="26" s="1"/>
  <c r="K105" i="26"/>
  <c r="L105" i="26" s="1"/>
  <c r="K104" i="26"/>
  <c r="L104" i="26" s="1"/>
  <c r="I103" i="26"/>
  <c r="H103" i="26"/>
  <c r="G103" i="26"/>
  <c r="D103" i="26"/>
  <c r="K101" i="26"/>
  <c r="L101" i="26" s="1"/>
  <c r="K100" i="26"/>
  <c r="L100" i="26" s="1"/>
  <c r="K99" i="26"/>
  <c r="L99" i="26" s="1"/>
  <c r="K98" i="26"/>
  <c r="L98" i="26" s="1"/>
  <c r="K97" i="26"/>
  <c r="L97" i="26" s="1"/>
  <c r="K96" i="26"/>
  <c r="L96" i="26" s="1"/>
  <c r="K95" i="26"/>
  <c r="L95" i="26" s="1"/>
  <c r="K94" i="26"/>
  <c r="L94" i="26" s="1"/>
  <c r="K93" i="26"/>
  <c r="L93" i="26" s="1"/>
  <c r="K92" i="26"/>
  <c r="L92" i="26" s="1"/>
  <c r="K91" i="26"/>
  <c r="L91" i="26" s="1"/>
  <c r="K90" i="26"/>
  <c r="L90" i="26" s="1"/>
  <c r="K89" i="26"/>
  <c r="L89" i="26" s="1"/>
  <c r="K88" i="26"/>
  <c r="L88" i="26" s="1"/>
  <c r="K87" i="26"/>
  <c r="L87" i="26" s="1"/>
  <c r="K86" i="26"/>
  <c r="L86" i="26" s="1"/>
  <c r="K85" i="26"/>
  <c r="L85" i="26" s="1"/>
  <c r="K84" i="26"/>
  <c r="L84" i="26" s="1"/>
  <c r="K83" i="26"/>
  <c r="L83" i="26" s="1"/>
  <c r="K82" i="26"/>
  <c r="L82" i="26" s="1"/>
  <c r="L81" i="26"/>
  <c r="J80" i="26"/>
  <c r="K79" i="26"/>
  <c r="L79" i="26" s="1"/>
  <c r="K78" i="26"/>
  <c r="L78" i="26" s="1"/>
  <c r="K77" i="26"/>
  <c r="L77" i="26" s="1"/>
  <c r="K76" i="26"/>
  <c r="L76" i="26" s="1"/>
  <c r="K75" i="26"/>
  <c r="L75" i="26" s="1"/>
  <c r="K74" i="26"/>
  <c r="L74" i="26" s="1"/>
  <c r="K73" i="26"/>
  <c r="L73" i="26" s="1"/>
  <c r="K72" i="26"/>
  <c r="L72" i="26" s="1"/>
  <c r="K71" i="26"/>
  <c r="L71" i="26" s="1"/>
  <c r="K70" i="26"/>
  <c r="L70" i="26" s="1"/>
  <c r="K69" i="26"/>
  <c r="L69" i="26" s="1"/>
  <c r="K68" i="26"/>
  <c r="L68" i="26" s="1"/>
  <c r="K67" i="26"/>
  <c r="L67" i="26" s="1"/>
  <c r="H66" i="26"/>
  <c r="F66" i="26"/>
  <c r="I66" i="26"/>
  <c r="G66" i="26"/>
  <c r="E66" i="26"/>
  <c r="D66" i="26"/>
  <c r="K65" i="26"/>
  <c r="L65" i="26" s="1"/>
  <c r="K64" i="26"/>
  <c r="L64" i="26" s="1"/>
  <c r="K63" i="26"/>
  <c r="L63" i="26" s="1"/>
  <c r="K62" i="26"/>
  <c r="L62" i="26" s="1"/>
  <c r="K61" i="26"/>
  <c r="L61" i="26" s="1"/>
  <c r="K60" i="26"/>
  <c r="L60" i="26" s="1"/>
  <c r="K59" i="26"/>
  <c r="K58" i="26"/>
  <c r="K57" i="26"/>
  <c r="L57" i="26" s="1"/>
  <c r="K56" i="26"/>
  <c r="L56" i="26" s="1"/>
  <c r="K55" i="26"/>
  <c r="L55" i="26" s="1"/>
  <c r="K54" i="26"/>
  <c r="L54" i="26" s="1"/>
  <c r="K53" i="26"/>
  <c r="L53" i="26" s="1"/>
  <c r="K52" i="26"/>
  <c r="L52" i="26" s="1"/>
  <c r="K51" i="26"/>
  <c r="K50" i="26"/>
  <c r="K49" i="26"/>
  <c r="L49" i="26" s="1"/>
  <c r="K48" i="26"/>
  <c r="L48" i="26" s="1"/>
  <c r="K47" i="26"/>
  <c r="L47" i="26" s="1"/>
  <c r="K46" i="26"/>
  <c r="L46" i="26" s="1"/>
  <c r="K45" i="26"/>
  <c r="L45" i="26" s="1"/>
  <c r="K44" i="26"/>
  <c r="L44" i="26" s="1"/>
  <c r="K43" i="26"/>
  <c r="K42" i="26"/>
  <c r="K41" i="26"/>
  <c r="L41" i="26" s="1"/>
  <c r="K40" i="26"/>
  <c r="L40" i="26" s="1"/>
  <c r="K39" i="26"/>
  <c r="L39" i="26" s="1"/>
  <c r="K38" i="26"/>
  <c r="L38" i="26" s="1"/>
  <c r="K37" i="26"/>
  <c r="L37" i="26" s="1"/>
  <c r="K36" i="26"/>
  <c r="L36" i="26" s="1"/>
  <c r="K35" i="26"/>
  <c r="K34" i="26"/>
  <c r="K33" i="26"/>
  <c r="L33" i="26" s="1"/>
  <c r="K32" i="26"/>
  <c r="L32" i="26" s="1"/>
  <c r="K31" i="26"/>
  <c r="L31" i="26" s="1"/>
  <c r="K30" i="26"/>
  <c r="L30" i="26" s="1"/>
  <c r="K29" i="26"/>
  <c r="L29" i="26" s="1"/>
  <c r="K28" i="26"/>
  <c r="L28" i="26" s="1"/>
  <c r="F4" i="26"/>
  <c r="K27" i="26"/>
  <c r="L27" i="26" s="1"/>
  <c r="K26" i="26"/>
  <c r="K25" i="26"/>
  <c r="L25" i="26" s="1"/>
  <c r="K24" i="26"/>
  <c r="L24" i="26" s="1"/>
  <c r="K23" i="26"/>
  <c r="L23" i="26" s="1"/>
  <c r="K22" i="26"/>
  <c r="L22" i="26" s="1"/>
  <c r="K21" i="26"/>
  <c r="L21" i="26" s="1"/>
  <c r="K20" i="26"/>
  <c r="L20" i="26" s="1"/>
  <c r="K19" i="26"/>
  <c r="K18" i="26"/>
  <c r="K17" i="26"/>
  <c r="L17" i="26" s="1"/>
  <c r="K16" i="26"/>
  <c r="L16" i="26" s="1"/>
  <c r="K15" i="26"/>
  <c r="L15" i="26" s="1"/>
  <c r="K14" i="26"/>
  <c r="L14" i="26" s="1"/>
  <c r="K13" i="26"/>
  <c r="L13" i="26" s="1"/>
  <c r="K12" i="26"/>
  <c r="L12" i="26" s="1"/>
  <c r="K11" i="26"/>
  <c r="K10" i="26"/>
  <c r="K9" i="26"/>
  <c r="L9" i="26" s="1"/>
  <c r="K8" i="26"/>
  <c r="L8" i="26" s="1"/>
  <c r="K7" i="26"/>
  <c r="L7" i="26" s="1"/>
  <c r="K6" i="26"/>
  <c r="L6" i="26" s="1"/>
  <c r="K5" i="26"/>
  <c r="L5" i="26" s="1"/>
  <c r="I4" i="26"/>
  <c r="K4" i="26" s="1"/>
  <c r="H4" i="26"/>
  <c r="G4" i="26"/>
  <c r="E4" i="26"/>
  <c r="D285" i="27" l="1"/>
  <c r="L149" i="27"/>
  <c r="F202" i="26"/>
  <c r="F282" i="26" s="1"/>
  <c r="K80" i="26"/>
  <c r="L80" i="26" s="1"/>
  <c r="J66" i="26"/>
  <c r="K196" i="26"/>
  <c r="I196" i="27"/>
  <c r="K196" i="27" s="1"/>
  <c r="L196" i="27" s="1"/>
  <c r="G202" i="26"/>
  <c r="G282" i="26" s="1"/>
  <c r="G202" i="27"/>
  <c r="G286" i="27" s="1"/>
  <c r="G306" i="27" s="1"/>
  <c r="H202" i="26"/>
  <c r="H282" i="26" s="1"/>
  <c r="H202" i="27"/>
  <c r="H285" i="27" s="1"/>
  <c r="E286" i="27"/>
  <c r="E306" i="27" s="1"/>
  <c r="D286" i="27"/>
  <c r="D306" i="27" s="1"/>
  <c r="K102" i="27"/>
  <c r="L102" i="27" s="1"/>
  <c r="L4" i="27"/>
  <c r="H102" i="26"/>
  <c r="E102" i="26"/>
  <c r="D148" i="26"/>
  <c r="D283" i="26" s="1"/>
  <c r="D303" i="26" s="1"/>
  <c r="G102" i="26"/>
  <c r="J281" i="26"/>
  <c r="J202" i="26" s="1"/>
  <c r="K202" i="26" s="1"/>
  <c r="L307" i="26"/>
  <c r="E282" i="26"/>
  <c r="L18" i="26"/>
  <c r="L34" i="26"/>
  <c r="L42" i="26"/>
  <c r="L50" i="26"/>
  <c r="L58" i="26"/>
  <c r="L35" i="26"/>
  <c r="L43" i="26"/>
  <c r="L51" i="26"/>
  <c r="L59" i="26"/>
  <c r="L10" i="26"/>
  <c r="L11" i="26"/>
  <c r="L26" i="26"/>
  <c r="L19" i="26"/>
  <c r="L304" i="26"/>
  <c r="L296" i="26"/>
  <c r="L293" i="26"/>
  <c r="L290" i="26"/>
  <c r="L284" i="26"/>
  <c r="I282" i="26"/>
  <c r="L196" i="26"/>
  <c r="J151" i="26"/>
  <c r="K151" i="26" s="1"/>
  <c r="L151" i="26" s="1"/>
  <c r="D282" i="26"/>
  <c r="K66" i="26"/>
  <c r="L66" i="26" s="1"/>
  <c r="L4" i="26"/>
  <c r="F102" i="26"/>
  <c r="F148" i="26"/>
  <c r="E148" i="26"/>
  <c r="E283" i="26" s="1"/>
  <c r="E303" i="26" s="1"/>
  <c r="K103" i="26"/>
  <c r="L103" i="26" s="1"/>
  <c r="G148" i="26"/>
  <c r="D102" i="26"/>
  <c r="H148" i="26"/>
  <c r="H283" i="26" s="1"/>
  <c r="H303" i="26" s="1"/>
  <c r="I148" i="26"/>
  <c r="I102" i="26"/>
  <c r="G270" i="4"/>
  <c r="G270" i="15"/>
  <c r="G270" i="17"/>
  <c r="G283" i="26" l="1"/>
  <c r="G303" i="26" s="1"/>
  <c r="I285" i="27"/>
  <c r="K202" i="27"/>
  <c r="F202" i="27"/>
  <c r="H286" i="27"/>
  <c r="H306" i="27" s="1"/>
  <c r="G285" i="27"/>
  <c r="F283" i="26"/>
  <c r="F303" i="26" s="1"/>
  <c r="I286" i="27"/>
  <c r="I306" i="27" s="1"/>
  <c r="K306" i="27" s="1"/>
  <c r="K148" i="27"/>
  <c r="L148" i="27" s="1"/>
  <c r="K102" i="26"/>
  <c r="K148" i="26" s="1"/>
  <c r="L202" i="26"/>
  <c r="J149" i="26"/>
  <c r="K149" i="26" s="1"/>
  <c r="L149" i="26" s="1"/>
  <c r="I283" i="26"/>
  <c r="I303" i="26" s="1"/>
  <c r="K303" i="26" s="1"/>
  <c r="L303" i="26" l="1"/>
  <c r="F286" i="27"/>
  <c r="F306" i="27" s="1"/>
  <c r="L306" i="27" s="1"/>
  <c r="F285" i="27"/>
  <c r="L202" i="27"/>
  <c r="K285" i="27"/>
  <c r="L102" i="26"/>
  <c r="K282" i="26"/>
  <c r="K283" i="26" s="1"/>
  <c r="L283" i="26" s="1"/>
  <c r="L148" i="26"/>
  <c r="L282" i="26" l="1"/>
  <c r="L285" i="27"/>
  <c r="K286" i="27"/>
  <c r="L286" i="27" s="1"/>
  <c r="H341" i="4" l="1"/>
  <c r="F450" i="22"/>
  <c r="D267" i="22"/>
  <c r="D12" i="22"/>
  <c r="I497" i="15"/>
  <c r="L474" i="15"/>
  <c r="G14" i="15"/>
  <c r="H14" i="15"/>
  <c r="B8" i="23"/>
  <c r="D5" i="17"/>
  <c r="L486" i="17"/>
  <c r="K474" i="17"/>
  <c r="L127" i="17"/>
  <c r="G497" i="17"/>
  <c r="J265" i="17"/>
  <c r="K14" i="4"/>
  <c r="F341" i="4" l="1"/>
  <c r="J122" i="15"/>
  <c r="I497" i="17"/>
  <c r="G9" i="23"/>
  <c r="G10" i="23"/>
  <c r="G8" i="23"/>
  <c r="D271" i="4"/>
  <c r="E271" i="4"/>
  <c r="F271" i="4"/>
  <c r="G271" i="4"/>
  <c r="H271" i="4"/>
  <c r="F10" i="23"/>
  <c r="F9" i="23"/>
  <c r="F8" i="23"/>
  <c r="E10" i="23"/>
  <c r="E9" i="23"/>
  <c r="E8" i="23"/>
  <c r="D10" i="23"/>
  <c r="D9" i="23"/>
  <c r="D8" i="23"/>
  <c r="C10" i="23"/>
  <c r="C9" i="23"/>
  <c r="C8" i="23"/>
  <c r="B10" i="23"/>
  <c r="B9" i="23"/>
  <c r="G4" i="23"/>
  <c r="G5" i="23"/>
  <c r="G6" i="23"/>
  <c r="G471" i="4"/>
  <c r="G392" i="4" s="1"/>
  <c r="H471" i="4"/>
  <c r="H392" i="4" s="1"/>
  <c r="F471" i="4"/>
  <c r="F392" i="4" s="1"/>
  <c r="G471" i="15"/>
  <c r="G392" i="15" s="1"/>
  <c r="H471" i="15"/>
  <c r="F471" i="15"/>
  <c r="F392" i="15" s="1"/>
  <c r="I392" i="17"/>
  <c r="G471" i="17"/>
  <c r="G392" i="17" s="1"/>
  <c r="H471" i="17"/>
  <c r="H392" i="17" s="1"/>
  <c r="F471" i="17"/>
  <c r="F392" i="17" s="1"/>
  <c r="L450" i="17"/>
  <c r="G265" i="4"/>
  <c r="G265" i="15"/>
  <c r="G265" i="17"/>
  <c r="J471" i="15" l="1"/>
  <c r="K471" i="15" s="1"/>
  <c r="J471" i="17"/>
  <c r="H392" i="15"/>
  <c r="J471" i="4"/>
  <c r="J392" i="4" s="1"/>
  <c r="H265" i="4"/>
  <c r="J392" i="17" l="1"/>
  <c r="K392" i="17" s="1"/>
  <c r="K472" i="17" s="1"/>
  <c r="J392" i="15"/>
  <c r="G341" i="15"/>
  <c r="F341" i="15"/>
  <c r="J479" i="17"/>
  <c r="J478" i="17"/>
  <c r="J477" i="17"/>
  <c r="J476" i="17"/>
  <c r="J475" i="17"/>
  <c r="J390" i="17"/>
  <c r="J389" i="17"/>
  <c r="J388" i="17"/>
  <c r="J387" i="17"/>
  <c r="J479" i="15"/>
  <c r="J478" i="15"/>
  <c r="J477" i="15"/>
  <c r="J476" i="15"/>
  <c r="J475" i="15"/>
  <c r="J342" i="15"/>
  <c r="J265" i="15"/>
  <c r="J265" i="4"/>
  <c r="I127" i="15"/>
  <c r="G341" i="17"/>
  <c r="F341" i="17"/>
  <c r="E434" i="15"/>
  <c r="I446" i="4" l="1"/>
  <c r="I343" i="4"/>
  <c r="I425" i="4"/>
  <c r="I426" i="4"/>
  <c r="I257" i="4"/>
  <c r="I398" i="4"/>
  <c r="I436" i="4"/>
  <c r="I435" i="4"/>
  <c r="I434" i="4"/>
  <c r="I317" i="4"/>
  <c r="I319" i="4"/>
  <c r="I454" i="4"/>
  <c r="I240" i="4"/>
  <c r="I239" i="4"/>
  <c r="I239" i="15"/>
  <c r="I446" i="15"/>
  <c r="I343" i="15"/>
  <c r="I426" i="15"/>
  <c r="I425" i="15"/>
  <c r="I436" i="15"/>
  <c r="I414" i="15"/>
  <c r="I398" i="15"/>
  <c r="I317" i="15"/>
  <c r="I434" i="15"/>
  <c r="I435" i="15"/>
  <c r="I257" i="15"/>
  <c r="H257" i="15"/>
  <c r="I446" i="17"/>
  <c r="I414" i="17"/>
  <c r="I343" i="17"/>
  <c r="I339" i="17" s="1"/>
  <c r="I425" i="17"/>
  <c r="I436" i="17"/>
  <c r="I463" i="17"/>
  <c r="I435" i="17"/>
  <c r="I313" i="17"/>
  <c r="I257" i="17"/>
  <c r="E5" i="17"/>
  <c r="F5" i="17"/>
  <c r="F14" i="17"/>
  <c r="D29" i="17"/>
  <c r="E29" i="17"/>
  <c r="F29" i="17"/>
  <c r="D32" i="17"/>
  <c r="E32" i="17"/>
  <c r="F32" i="17"/>
  <c r="D44" i="17"/>
  <c r="E44" i="17"/>
  <c r="F44" i="17"/>
  <c r="D47" i="17"/>
  <c r="E47" i="17"/>
  <c r="F47" i="17"/>
  <c r="D52" i="17"/>
  <c r="E52" i="17"/>
  <c r="F52" i="17"/>
  <c r="D59" i="17"/>
  <c r="E59" i="17"/>
  <c r="F60" i="17"/>
  <c r="D65" i="17"/>
  <c r="E65" i="17"/>
  <c r="F65" i="17"/>
  <c r="D102" i="17"/>
  <c r="E102" i="17"/>
  <c r="F102" i="17"/>
  <c r="D127" i="17"/>
  <c r="E127" i="17"/>
  <c r="F127" i="17"/>
  <c r="D133" i="17"/>
  <c r="E133" i="17"/>
  <c r="F133" i="17"/>
  <c r="D136" i="17"/>
  <c r="E136" i="17"/>
  <c r="F136" i="17"/>
  <c r="D143" i="17"/>
  <c r="E143" i="17"/>
  <c r="F143" i="17"/>
  <c r="D147" i="17"/>
  <c r="E147" i="17"/>
  <c r="F147" i="17"/>
  <c r="D151" i="17"/>
  <c r="E151" i="17"/>
  <c r="F151" i="17"/>
  <c r="D172" i="17"/>
  <c r="E172" i="17"/>
  <c r="E191" i="17" s="1"/>
  <c r="F172" i="17"/>
  <c r="D194" i="17"/>
  <c r="E194" i="17"/>
  <c r="F194" i="17"/>
  <c r="F257" i="17"/>
  <c r="D270" i="17"/>
  <c r="E270" i="17"/>
  <c r="F270" i="17"/>
  <c r="D293" i="17"/>
  <c r="E293" i="17"/>
  <c r="F293" i="17"/>
  <c r="D339" i="17"/>
  <c r="E339" i="17"/>
  <c r="F339" i="17"/>
  <c r="D386" i="17"/>
  <c r="E386" i="17"/>
  <c r="F386" i="17"/>
  <c r="D392" i="17"/>
  <c r="E392" i="17"/>
  <c r="F398" i="17"/>
  <c r="D474" i="17"/>
  <c r="E474" i="17"/>
  <c r="F474" i="17"/>
  <c r="D480" i="17"/>
  <c r="E480" i="17"/>
  <c r="F480" i="17"/>
  <c r="D483" i="17"/>
  <c r="E483" i="17"/>
  <c r="F483" i="17"/>
  <c r="D486" i="17"/>
  <c r="E486" i="17"/>
  <c r="F486" i="17"/>
  <c r="D494" i="17"/>
  <c r="E494" i="17"/>
  <c r="F494" i="17"/>
  <c r="D497" i="17"/>
  <c r="E497" i="17"/>
  <c r="F497" i="17"/>
  <c r="G5" i="17"/>
  <c r="G27" i="17"/>
  <c r="G14" i="17" s="1"/>
  <c r="G29" i="17"/>
  <c r="G34" i="17"/>
  <c r="G44" i="17"/>
  <c r="G47" i="17"/>
  <c r="G52" i="17"/>
  <c r="G59" i="17"/>
  <c r="G65" i="17"/>
  <c r="G102" i="17"/>
  <c r="G127" i="17"/>
  <c r="G133" i="17"/>
  <c r="G136" i="17"/>
  <c r="G143" i="17"/>
  <c r="G147" i="17"/>
  <c r="G151" i="17"/>
  <c r="G172" i="17"/>
  <c r="G255" i="17"/>
  <c r="G293" i="17"/>
  <c r="G339" i="17"/>
  <c r="G386" i="17"/>
  <c r="G474" i="17"/>
  <c r="G480" i="17"/>
  <c r="G483" i="17"/>
  <c r="G486" i="17"/>
  <c r="G494" i="17"/>
  <c r="F270" i="4"/>
  <c r="G341" i="4"/>
  <c r="G255" i="15"/>
  <c r="G34" i="15"/>
  <c r="G27" i="15"/>
  <c r="F270" i="15"/>
  <c r="F398" i="15"/>
  <c r="F56" i="15"/>
  <c r="G194" i="17" l="1"/>
  <c r="F472" i="17"/>
  <c r="F59" i="17"/>
  <c r="E122" i="17"/>
  <c r="G32" i="17"/>
  <c r="F122" i="17"/>
  <c r="F191" i="17"/>
  <c r="G191" i="17"/>
  <c r="D191" i="17"/>
  <c r="G472" i="17"/>
  <c r="D472" i="17"/>
  <c r="E472" i="17"/>
  <c r="F467" i="4"/>
  <c r="F436" i="4"/>
  <c r="F398" i="4"/>
  <c r="F404" i="4"/>
  <c r="F257" i="4"/>
  <c r="F257" i="22" s="1"/>
  <c r="F170" i="4"/>
  <c r="F56" i="4"/>
  <c r="F56" i="22" s="1"/>
  <c r="F34" i="4"/>
  <c r="F14" i="4"/>
  <c r="D6" i="22"/>
  <c r="E6" i="22"/>
  <c r="F6" i="22"/>
  <c r="G6" i="22"/>
  <c r="H6" i="22"/>
  <c r="I6" i="22"/>
  <c r="D7" i="22"/>
  <c r="E7" i="22"/>
  <c r="F7" i="22"/>
  <c r="G7" i="22"/>
  <c r="H7" i="22"/>
  <c r="I7" i="22"/>
  <c r="D8" i="22"/>
  <c r="E8" i="22"/>
  <c r="F8" i="22"/>
  <c r="G8" i="22"/>
  <c r="H8" i="22"/>
  <c r="I8" i="22"/>
  <c r="D9" i="22"/>
  <c r="E9" i="22"/>
  <c r="F9" i="22"/>
  <c r="G9" i="22"/>
  <c r="H9" i="22"/>
  <c r="I9" i="22"/>
  <c r="D10" i="22"/>
  <c r="E10" i="22"/>
  <c r="F10" i="22"/>
  <c r="G10" i="22"/>
  <c r="H10" i="22"/>
  <c r="I10" i="22"/>
  <c r="D11" i="22"/>
  <c r="E11" i="22"/>
  <c r="F11" i="22"/>
  <c r="G11" i="22"/>
  <c r="H11" i="22"/>
  <c r="I11" i="22"/>
  <c r="E12" i="22"/>
  <c r="F12" i="22"/>
  <c r="G12" i="22"/>
  <c r="H12" i="22"/>
  <c r="I12" i="22"/>
  <c r="D13" i="22"/>
  <c r="E13" i="22"/>
  <c r="F13" i="22"/>
  <c r="G13" i="22"/>
  <c r="H13" i="22"/>
  <c r="I13" i="22"/>
  <c r="E14" i="22"/>
  <c r="E15" i="22"/>
  <c r="F15" i="22"/>
  <c r="G15" i="22"/>
  <c r="H15" i="22"/>
  <c r="I15" i="22"/>
  <c r="E16" i="22"/>
  <c r="F16" i="22"/>
  <c r="G16" i="22"/>
  <c r="H16" i="22"/>
  <c r="I16" i="22"/>
  <c r="E17" i="22"/>
  <c r="F17" i="22"/>
  <c r="G17" i="22"/>
  <c r="H17" i="22"/>
  <c r="I17" i="22"/>
  <c r="E18" i="22"/>
  <c r="F18" i="22"/>
  <c r="G18" i="22"/>
  <c r="H18" i="22"/>
  <c r="I18" i="22"/>
  <c r="E19" i="22"/>
  <c r="F19" i="22"/>
  <c r="G19" i="22"/>
  <c r="H19" i="22"/>
  <c r="I19" i="22"/>
  <c r="E20" i="22"/>
  <c r="F20" i="22"/>
  <c r="G20" i="22"/>
  <c r="H20" i="22"/>
  <c r="I20" i="22"/>
  <c r="E21" i="22"/>
  <c r="F21" i="22"/>
  <c r="G21" i="22"/>
  <c r="H21" i="22"/>
  <c r="I21" i="22"/>
  <c r="E22" i="22"/>
  <c r="F22" i="22"/>
  <c r="G22" i="22"/>
  <c r="H22" i="22"/>
  <c r="I22" i="22"/>
  <c r="E23" i="22"/>
  <c r="F23" i="22"/>
  <c r="G23" i="22"/>
  <c r="H23" i="22"/>
  <c r="I23" i="22"/>
  <c r="E24" i="22"/>
  <c r="F24" i="22"/>
  <c r="G24" i="22"/>
  <c r="H24" i="22"/>
  <c r="I24" i="22"/>
  <c r="E25" i="22"/>
  <c r="F25" i="22"/>
  <c r="G25" i="22"/>
  <c r="H25" i="22"/>
  <c r="I25" i="22"/>
  <c r="E26" i="22"/>
  <c r="F26" i="22"/>
  <c r="G26" i="22"/>
  <c r="H26" i="22"/>
  <c r="I26" i="22"/>
  <c r="E27" i="22"/>
  <c r="F27" i="22"/>
  <c r="G27" i="22"/>
  <c r="H27" i="22"/>
  <c r="I27" i="22"/>
  <c r="E28" i="22"/>
  <c r="F28" i="22"/>
  <c r="G28" i="22"/>
  <c r="H28" i="22"/>
  <c r="I28" i="22"/>
  <c r="D30" i="22"/>
  <c r="E30" i="22"/>
  <c r="F30" i="22"/>
  <c r="G30" i="22"/>
  <c r="H30" i="22"/>
  <c r="I30" i="22"/>
  <c r="D31" i="22"/>
  <c r="E31" i="22"/>
  <c r="F31" i="22"/>
  <c r="G31" i="22"/>
  <c r="H31" i="22"/>
  <c r="I31" i="22"/>
  <c r="D33" i="22"/>
  <c r="E33" i="22"/>
  <c r="F33" i="22"/>
  <c r="G33" i="22"/>
  <c r="H33" i="22"/>
  <c r="I33" i="22"/>
  <c r="D34" i="22"/>
  <c r="E34" i="22"/>
  <c r="F34" i="22"/>
  <c r="G34" i="22"/>
  <c r="I34" i="22"/>
  <c r="D35" i="22"/>
  <c r="E35" i="22"/>
  <c r="F35" i="22"/>
  <c r="G35" i="22"/>
  <c r="H35" i="22"/>
  <c r="I35" i="22"/>
  <c r="D36" i="22"/>
  <c r="E36" i="22"/>
  <c r="F36" i="22"/>
  <c r="G36" i="22"/>
  <c r="H36" i="22"/>
  <c r="I36" i="22"/>
  <c r="D37" i="22"/>
  <c r="E37" i="22"/>
  <c r="F37" i="22"/>
  <c r="G37" i="22"/>
  <c r="H37" i="22"/>
  <c r="I37" i="22"/>
  <c r="D38" i="22"/>
  <c r="E38" i="22"/>
  <c r="F38" i="22"/>
  <c r="G38" i="22"/>
  <c r="H38" i="22"/>
  <c r="I38" i="22"/>
  <c r="D39" i="22"/>
  <c r="E39" i="22"/>
  <c r="F39" i="22"/>
  <c r="G39" i="22"/>
  <c r="H39" i="22"/>
  <c r="I39" i="22"/>
  <c r="D40" i="22"/>
  <c r="E40" i="22"/>
  <c r="F40" i="22"/>
  <c r="G40" i="22"/>
  <c r="H40" i="22"/>
  <c r="I40" i="22"/>
  <c r="D41" i="22"/>
  <c r="E41" i="22"/>
  <c r="F41" i="22"/>
  <c r="G41" i="22"/>
  <c r="H41" i="22"/>
  <c r="I41" i="22"/>
  <c r="D42" i="22"/>
  <c r="E42" i="22"/>
  <c r="F42" i="22"/>
  <c r="G42" i="22"/>
  <c r="H42" i="22"/>
  <c r="I42" i="22"/>
  <c r="D43" i="22"/>
  <c r="E43" i="22"/>
  <c r="F43" i="22"/>
  <c r="G43" i="22"/>
  <c r="H43" i="22"/>
  <c r="I43" i="22"/>
  <c r="D45" i="22"/>
  <c r="E45" i="22"/>
  <c r="F45" i="22"/>
  <c r="G45" i="22"/>
  <c r="H45" i="22"/>
  <c r="I45" i="22"/>
  <c r="D46" i="22"/>
  <c r="E46" i="22"/>
  <c r="F46" i="22"/>
  <c r="G46" i="22"/>
  <c r="H46" i="22"/>
  <c r="I46" i="22"/>
  <c r="D48" i="22"/>
  <c r="E48" i="22"/>
  <c r="F48" i="22"/>
  <c r="G48" i="22"/>
  <c r="H48" i="22"/>
  <c r="I48" i="22"/>
  <c r="D49" i="22"/>
  <c r="E49" i="22"/>
  <c r="F49" i="22"/>
  <c r="G49" i="22"/>
  <c r="H49" i="22"/>
  <c r="I49" i="22"/>
  <c r="D50" i="22"/>
  <c r="E50" i="22"/>
  <c r="F50" i="22"/>
  <c r="G50" i="22"/>
  <c r="H50" i="22"/>
  <c r="I50" i="22"/>
  <c r="D51" i="22"/>
  <c r="E51" i="22"/>
  <c r="F51" i="22"/>
  <c r="G51" i="22"/>
  <c r="H51" i="22"/>
  <c r="I51" i="22"/>
  <c r="D53" i="22"/>
  <c r="E53" i="22"/>
  <c r="F53" i="22"/>
  <c r="G53" i="22"/>
  <c r="H53" i="22"/>
  <c r="I53" i="22"/>
  <c r="D54" i="22"/>
  <c r="E54" i="22"/>
  <c r="F54" i="22"/>
  <c r="G54" i="22"/>
  <c r="H54" i="22"/>
  <c r="I54" i="22"/>
  <c r="D55" i="22"/>
  <c r="E55" i="22"/>
  <c r="F55" i="22"/>
  <c r="G55" i="22"/>
  <c r="H55" i="22"/>
  <c r="I55" i="22"/>
  <c r="D56" i="22"/>
  <c r="E56" i="22"/>
  <c r="G56" i="22"/>
  <c r="H56" i="22"/>
  <c r="I56" i="22"/>
  <c r="D57" i="22"/>
  <c r="E57" i="22"/>
  <c r="F57" i="22"/>
  <c r="G57" i="22"/>
  <c r="H57" i="22"/>
  <c r="I57" i="22"/>
  <c r="D58" i="22"/>
  <c r="E58" i="22"/>
  <c r="F58" i="22"/>
  <c r="G58" i="22"/>
  <c r="H58" i="22"/>
  <c r="I58" i="22"/>
  <c r="D60" i="22"/>
  <c r="E60" i="22"/>
  <c r="F60" i="22"/>
  <c r="G60" i="22"/>
  <c r="H60" i="22"/>
  <c r="I60" i="22"/>
  <c r="D61" i="22"/>
  <c r="E61" i="22"/>
  <c r="F61" i="22"/>
  <c r="G61" i="22"/>
  <c r="H61" i="22"/>
  <c r="I61" i="22"/>
  <c r="D62" i="22"/>
  <c r="E62" i="22"/>
  <c r="F62" i="22"/>
  <c r="G62" i="22"/>
  <c r="H62" i="22"/>
  <c r="I62" i="22"/>
  <c r="D63" i="22"/>
  <c r="E63" i="22"/>
  <c r="F63" i="22"/>
  <c r="G63" i="22"/>
  <c r="H63" i="22"/>
  <c r="I63" i="22"/>
  <c r="D64" i="22"/>
  <c r="E64" i="22"/>
  <c r="F64" i="22"/>
  <c r="G64" i="22"/>
  <c r="H64" i="22"/>
  <c r="I64" i="22"/>
  <c r="D66" i="22"/>
  <c r="E66" i="22"/>
  <c r="F66" i="22"/>
  <c r="G66" i="22"/>
  <c r="H66" i="22"/>
  <c r="I66" i="22"/>
  <c r="D67" i="22"/>
  <c r="E67" i="22"/>
  <c r="F67" i="22"/>
  <c r="G67" i="22"/>
  <c r="H67" i="22"/>
  <c r="I67" i="22"/>
  <c r="D68" i="22"/>
  <c r="E68" i="22"/>
  <c r="F68" i="22"/>
  <c r="G68" i="22"/>
  <c r="H68" i="22"/>
  <c r="I68" i="22"/>
  <c r="D69" i="22"/>
  <c r="E69" i="22"/>
  <c r="F69" i="22"/>
  <c r="G69" i="22"/>
  <c r="H69" i="22"/>
  <c r="I69" i="22"/>
  <c r="D70" i="22"/>
  <c r="E70" i="22"/>
  <c r="F70" i="22"/>
  <c r="G70" i="22"/>
  <c r="H70" i="22"/>
  <c r="I70" i="22"/>
  <c r="D71" i="22"/>
  <c r="E71" i="22"/>
  <c r="F71" i="22"/>
  <c r="G71" i="22"/>
  <c r="H71" i="22"/>
  <c r="I71" i="22"/>
  <c r="D72" i="22"/>
  <c r="E72" i="22"/>
  <c r="F72" i="22"/>
  <c r="G72" i="22"/>
  <c r="H72" i="22"/>
  <c r="I72" i="22"/>
  <c r="D73" i="22"/>
  <c r="E73" i="22"/>
  <c r="F73" i="22"/>
  <c r="G73" i="22"/>
  <c r="H73" i="22"/>
  <c r="I73" i="22"/>
  <c r="D74" i="22"/>
  <c r="E74" i="22"/>
  <c r="F74" i="22"/>
  <c r="G74" i="22"/>
  <c r="H74" i="22"/>
  <c r="I74" i="22"/>
  <c r="D75" i="22"/>
  <c r="E75" i="22"/>
  <c r="F75" i="22"/>
  <c r="G75" i="22"/>
  <c r="H75" i="22"/>
  <c r="I75" i="22"/>
  <c r="D76" i="22"/>
  <c r="E76" i="22"/>
  <c r="F76" i="22"/>
  <c r="G76" i="22"/>
  <c r="H76" i="22"/>
  <c r="I76" i="22"/>
  <c r="D77" i="22"/>
  <c r="E77" i="22"/>
  <c r="F77" i="22"/>
  <c r="G77" i="22"/>
  <c r="H77" i="22"/>
  <c r="I77" i="22"/>
  <c r="D78" i="22"/>
  <c r="E78" i="22"/>
  <c r="F78" i="22"/>
  <c r="G78" i="22"/>
  <c r="H78" i="22"/>
  <c r="I78" i="22"/>
  <c r="D79" i="22"/>
  <c r="E79" i="22"/>
  <c r="F79" i="22"/>
  <c r="G79" i="22"/>
  <c r="H79" i="22"/>
  <c r="I79" i="22"/>
  <c r="D80" i="22"/>
  <c r="E80" i="22"/>
  <c r="F80" i="22"/>
  <c r="G80" i="22"/>
  <c r="H80" i="22"/>
  <c r="I80" i="22"/>
  <c r="D81" i="22"/>
  <c r="E81" i="22"/>
  <c r="F81" i="22"/>
  <c r="G81" i="22"/>
  <c r="H81" i="22"/>
  <c r="I81" i="22"/>
  <c r="D82" i="22"/>
  <c r="E82" i="22"/>
  <c r="F82" i="22"/>
  <c r="G82" i="22"/>
  <c r="H82" i="22"/>
  <c r="I82" i="22"/>
  <c r="D83" i="22"/>
  <c r="E83" i="22"/>
  <c r="F83" i="22"/>
  <c r="G83" i="22"/>
  <c r="H83" i="22"/>
  <c r="I83" i="22"/>
  <c r="D84" i="22"/>
  <c r="E84" i="22"/>
  <c r="F84" i="22"/>
  <c r="G84" i="22"/>
  <c r="H84" i="22"/>
  <c r="I84" i="22"/>
  <c r="D85" i="22"/>
  <c r="E85" i="22"/>
  <c r="F85" i="22"/>
  <c r="G85" i="22"/>
  <c r="H85" i="22"/>
  <c r="I85" i="22"/>
  <c r="D86" i="22"/>
  <c r="E86" i="22"/>
  <c r="F86" i="22"/>
  <c r="G86" i="22"/>
  <c r="H86" i="22"/>
  <c r="I86" i="22"/>
  <c r="D87" i="22"/>
  <c r="E87" i="22"/>
  <c r="F87" i="22"/>
  <c r="G87" i="22"/>
  <c r="H87" i="22"/>
  <c r="I87" i="22"/>
  <c r="D88" i="22"/>
  <c r="E88" i="22"/>
  <c r="F88" i="22"/>
  <c r="G88" i="22"/>
  <c r="H88" i="22"/>
  <c r="I88" i="22"/>
  <c r="D89" i="22"/>
  <c r="E89" i="22"/>
  <c r="F89" i="22"/>
  <c r="G89" i="22"/>
  <c r="H89" i="22"/>
  <c r="I89" i="22"/>
  <c r="D90" i="22"/>
  <c r="E90" i="22"/>
  <c r="F90" i="22"/>
  <c r="G90" i="22"/>
  <c r="H90" i="22"/>
  <c r="I90" i="22"/>
  <c r="D91" i="22"/>
  <c r="E91" i="22"/>
  <c r="F91" i="22"/>
  <c r="G91" i="22"/>
  <c r="H91" i="22"/>
  <c r="I91" i="22"/>
  <c r="D92" i="22"/>
  <c r="E92" i="22"/>
  <c r="F92" i="22"/>
  <c r="G92" i="22"/>
  <c r="H92" i="22"/>
  <c r="I92" i="22"/>
  <c r="D93" i="22"/>
  <c r="E93" i="22"/>
  <c r="F93" i="22"/>
  <c r="G93" i="22"/>
  <c r="H93" i="22"/>
  <c r="I93" i="22"/>
  <c r="D94" i="22"/>
  <c r="E94" i="22"/>
  <c r="F94" i="22"/>
  <c r="G94" i="22"/>
  <c r="H94" i="22"/>
  <c r="I94" i="22"/>
  <c r="D95" i="22"/>
  <c r="E95" i="22"/>
  <c r="F95" i="22"/>
  <c r="G95" i="22"/>
  <c r="H95" i="22"/>
  <c r="I95" i="22"/>
  <c r="D96" i="22"/>
  <c r="E96" i="22"/>
  <c r="F96" i="22"/>
  <c r="G96" i="22"/>
  <c r="H96" i="22"/>
  <c r="I96" i="22"/>
  <c r="D97" i="22"/>
  <c r="E97" i="22"/>
  <c r="F97" i="22"/>
  <c r="G97" i="22"/>
  <c r="H97" i="22"/>
  <c r="I97" i="22"/>
  <c r="D98" i="22"/>
  <c r="E98" i="22"/>
  <c r="F98" i="22"/>
  <c r="G98" i="22"/>
  <c r="H98" i="22"/>
  <c r="I98" i="22"/>
  <c r="D99" i="22"/>
  <c r="E99" i="22"/>
  <c r="F99" i="22"/>
  <c r="G99" i="22"/>
  <c r="H99" i="22"/>
  <c r="I99" i="22"/>
  <c r="D100" i="22"/>
  <c r="E100" i="22"/>
  <c r="F100" i="22"/>
  <c r="G100" i="22"/>
  <c r="H100" i="22"/>
  <c r="I100" i="22"/>
  <c r="D101" i="22"/>
  <c r="E101" i="22"/>
  <c r="F101" i="22"/>
  <c r="G101" i="22"/>
  <c r="H101" i="22"/>
  <c r="I101" i="22"/>
  <c r="D103" i="22"/>
  <c r="E103" i="22"/>
  <c r="F103" i="22"/>
  <c r="G103" i="22"/>
  <c r="H103" i="22"/>
  <c r="I103" i="22"/>
  <c r="D104" i="22"/>
  <c r="E104" i="22"/>
  <c r="F104" i="22"/>
  <c r="G104" i="22"/>
  <c r="H104" i="22"/>
  <c r="I104" i="22"/>
  <c r="D105" i="22"/>
  <c r="E105" i="22"/>
  <c r="F105" i="22"/>
  <c r="G105" i="22"/>
  <c r="H105" i="22"/>
  <c r="I105" i="22"/>
  <c r="D106" i="22"/>
  <c r="E106" i="22"/>
  <c r="F106" i="22"/>
  <c r="G106" i="22"/>
  <c r="H106" i="22"/>
  <c r="I106" i="22"/>
  <c r="D107" i="22"/>
  <c r="E107" i="22"/>
  <c r="F107" i="22"/>
  <c r="G107" i="22"/>
  <c r="H107" i="22"/>
  <c r="I107" i="22"/>
  <c r="D108" i="22"/>
  <c r="E108" i="22"/>
  <c r="F108" i="22"/>
  <c r="G108" i="22"/>
  <c r="H108" i="22"/>
  <c r="I108" i="22"/>
  <c r="D109" i="22"/>
  <c r="E109" i="22"/>
  <c r="F109" i="22"/>
  <c r="G109" i="22"/>
  <c r="H109" i="22"/>
  <c r="I109" i="22"/>
  <c r="D110" i="22"/>
  <c r="E110" i="22"/>
  <c r="F110" i="22"/>
  <c r="G110" i="22"/>
  <c r="H110" i="22"/>
  <c r="I110" i="22"/>
  <c r="D111" i="22"/>
  <c r="E111" i="22"/>
  <c r="F111" i="22"/>
  <c r="G111" i="22"/>
  <c r="H111" i="22"/>
  <c r="I111" i="22"/>
  <c r="D112" i="22"/>
  <c r="E112" i="22"/>
  <c r="F112" i="22"/>
  <c r="G112" i="22"/>
  <c r="H112" i="22"/>
  <c r="I112" i="22"/>
  <c r="D113" i="22"/>
  <c r="E113" i="22"/>
  <c r="F113" i="22"/>
  <c r="G113" i="22"/>
  <c r="H113" i="22"/>
  <c r="I113" i="22"/>
  <c r="D114" i="22"/>
  <c r="E114" i="22"/>
  <c r="F114" i="22"/>
  <c r="G114" i="22"/>
  <c r="H114" i="22"/>
  <c r="I114" i="22"/>
  <c r="D115" i="22"/>
  <c r="E115" i="22"/>
  <c r="F115" i="22"/>
  <c r="G115" i="22"/>
  <c r="H115" i="22"/>
  <c r="I115" i="22"/>
  <c r="D116" i="22"/>
  <c r="E116" i="22"/>
  <c r="F116" i="22"/>
  <c r="G116" i="22"/>
  <c r="H116" i="22"/>
  <c r="I116" i="22"/>
  <c r="D117" i="22"/>
  <c r="E117" i="22"/>
  <c r="F117" i="22"/>
  <c r="G117" i="22"/>
  <c r="H117" i="22"/>
  <c r="I117" i="22"/>
  <c r="D118" i="22"/>
  <c r="E118" i="22"/>
  <c r="F118" i="22"/>
  <c r="G118" i="22"/>
  <c r="H118" i="22"/>
  <c r="I118" i="22"/>
  <c r="D119" i="22"/>
  <c r="E119" i="22"/>
  <c r="F119" i="22"/>
  <c r="G119" i="22"/>
  <c r="H119" i="22"/>
  <c r="I119" i="22"/>
  <c r="D120" i="22"/>
  <c r="E120" i="22"/>
  <c r="F120" i="22"/>
  <c r="G120" i="22"/>
  <c r="H120" i="22"/>
  <c r="I120" i="22"/>
  <c r="D121" i="22"/>
  <c r="E121" i="22"/>
  <c r="F121" i="22"/>
  <c r="G121" i="22"/>
  <c r="H121" i="22"/>
  <c r="I121" i="22"/>
  <c r="D123" i="22"/>
  <c r="E123" i="22"/>
  <c r="F123" i="22"/>
  <c r="G123" i="22"/>
  <c r="H123" i="22"/>
  <c r="I123" i="22"/>
  <c r="D124" i="22"/>
  <c r="E124" i="22"/>
  <c r="F124" i="22"/>
  <c r="G124" i="22"/>
  <c r="H124" i="22"/>
  <c r="I124" i="22"/>
  <c r="D125" i="22"/>
  <c r="E125" i="22"/>
  <c r="F125" i="22"/>
  <c r="G125" i="22"/>
  <c r="H125" i="22"/>
  <c r="I125" i="22"/>
  <c r="D126" i="22"/>
  <c r="E126" i="22"/>
  <c r="F126" i="22"/>
  <c r="G126" i="22"/>
  <c r="H126" i="22"/>
  <c r="I126" i="22"/>
  <c r="D128" i="22"/>
  <c r="E128" i="22"/>
  <c r="F128" i="22"/>
  <c r="G128" i="22"/>
  <c r="H128" i="22"/>
  <c r="I128" i="22"/>
  <c r="D129" i="22"/>
  <c r="E129" i="22"/>
  <c r="F129" i="22"/>
  <c r="G129" i="22"/>
  <c r="H129" i="22"/>
  <c r="I129" i="22"/>
  <c r="D130" i="22"/>
  <c r="E130" i="22"/>
  <c r="F130" i="22"/>
  <c r="G130" i="22"/>
  <c r="H130" i="22"/>
  <c r="I130" i="22"/>
  <c r="D131" i="22"/>
  <c r="E131" i="22"/>
  <c r="F131" i="22"/>
  <c r="G131" i="22"/>
  <c r="H131" i="22"/>
  <c r="I131" i="22"/>
  <c r="D132" i="22"/>
  <c r="E132" i="22"/>
  <c r="F132" i="22"/>
  <c r="G132" i="22"/>
  <c r="H132" i="22"/>
  <c r="I132" i="22"/>
  <c r="D134" i="22"/>
  <c r="E134" i="22"/>
  <c r="F134" i="22"/>
  <c r="G134" i="22"/>
  <c r="H134" i="22"/>
  <c r="I134" i="22"/>
  <c r="D135" i="22"/>
  <c r="E135" i="22"/>
  <c r="F135" i="22"/>
  <c r="G135" i="22"/>
  <c r="H135" i="22"/>
  <c r="I135" i="22"/>
  <c r="D137" i="22"/>
  <c r="E137" i="22"/>
  <c r="F137" i="22"/>
  <c r="G137" i="22"/>
  <c r="H137" i="22"/>
  <c r="I137" i="22"/>
  <c r="D138" i="22"/>
  <c r="E138" i="22"/>
  <c r="F138" i="22"/>
  <c r="G138" i="22"/>
  <c r="H138" i="22"/>
  <c r="I138" i="22"/>
  <c r="D139" i="22"/>
  <c r="E139" i="22"/>
  <c r="F139" i="22"/>
  <c r="G139" i="22"/>
  <c r="H139" i="22"/>
  <c r="I139" i="22"/>
  <c r="D140" i="22"/>
  <c r="E140" i="22"/>
  <c r="F140" i="22"/>
  <c r="G140" i="22"/>
  <c r="H140" i="22"/>
  <c r="I140" i="22"/>
  <c r="D141" i="22"/>
  <c r="E141" i="22"/>
  <c r="F141" i="22"/>
  <c r="G141" i="22"/>
  <c r="H141" i="22"/>
  <c r="I141" i="22"/>
  <c r="D142" i="22"/>
  <c r="E142" i="22"/>
  <c r="F142" i="22"/>
  <c r="G142" i="22"/>
  <c r="H142" i="22"/>
  <c r="I142" i="22"/>
  <c r="D144" i="22"/>
  <c r="E144" i="22"/>
  <c r="F144" i="22"/>
  <c r="G144" i="22"/>
  <c r="H144" i="22"/>
  <c r="I144" i="22"/>
  <c r="D145" i="22"/>
  <c r="E145" i="22"/>
  <c r="F145" i="22"/>
  <c r="G145" i="22"/>
  <c r="H145" i="22"/>
  <c r="I145" i="22"/>
  <c r="D146" i="22"/>
  <c r="E146" i="22"/>
  <c r="F146" i="22"/>
  <c r="G146" i="22"/>
  <c r="H146" i="22"/>
  <c r="I146" i="22"/>
  <c r="D148" i="22"/>
  <c r="E148" i="22"/>
  <c r="F148" i="22"/>
  <c r="G148" i="22"/>
  <c r="H148" i="22"/>
  <c r="I148" i="22"/>
  <c r="D149" i="22"/>
  <c r="E149" i="22"/>
  <c r="F149" i="22"/>
  <c r="G149" i="22"/>
  <c r="H149" i="22"/>
  <c r="I149" i="22"/>
  <c r="D150" i="22"/>
  <c r="E150" i="22"/>
  <c r="F150" i="22"/>
  <c r="G150" i="22"/>
  <c r="H150" i="22"/>
  <c r="I150" i="22"/>
  <c r="D152" i="22"/>
  <c r="E152" i="22"/>
  <c r="F152" i="22"/>
  <c r="G152" i="22"/>
  <c r="H152" i="22"/>
  <c r="I152" i="22"/>
  <c r="D153" i="22"/>
  <c r="E153" i="22"/>
  <c r="F153" i="22"/>
  <c r="G153" i="22"/>
  <c r="H153" i="22"/>
  <c r="I153" i="22"/>
  <c r="D154" i="22"/>
  <c r="E154" i="22"/>
  <c r="F154" i="22"/>
  <c r="G154" i="22"/>
  <c r="H154" i="22"/>
  <c r="I154" i="22"/>
  <c r="D155" i="22"/>
  <c r="E155" i="22"/>
  <c r="F155" i="22"/>
  <c r="G155" i="22"/>
  <c r="H155" i="22"/>
  <c r="I155" i="22"/>
  <c r="D156" i="22"/>
  <c r="E156" i="22"/>
  <c r="F156" i="22"/>
  <c r="G156" i="22"/>
  <c r="H156" i="22"/>
  <c r="I156" i="22"/>
  <c r="D157" i="22"/>
  <c r="E157" i="22"/>
  <c r="F157" i="22"/>
  <c r="G157" i="22"/>
  <c r="H157" i="22"/>
  <c r="I157" i="22"/>
  <c r="D158" i="22"/>
  <c r="E158" i="22"/>
  <c r="F158" i="22"/>
  <c r="G158" i="22"/>
  <c r="H158" i="22"/>
  <c r="I158" i="22"/>
  <c r="D159" i="22"/>
  <c r="E159" i="22"/>
  <c r="F159" i="22"/>
  <c r="G159" i="22"/>
  <c r="H159" i="22"/>
  <c r="I159" i="22"/>
  <c r="D160" i="22"/>
  <c r="E160" i="22"/>
  <c r="F160" i="22"/>
  <c r="G160" i="22"/>
  <c r="H160" i="22"/>
  <c r="I160" i="22"/>
  <c r="D161" i="22"/>
  <c r="E161" i="22"/>
  <c r="F161" i="22"/>
  <c r="G161" i="22"/>
  <c r="H161" i="22"/>
  <c r="I161" i="22"/>
  <c r="D162" i="22"/>
  <c r="E162" i="22"/>
  <c r="F162" i="22"/>
  <c r="G162" i="22"/>
  <c r="H162" i="22"/>
  <c r="I162" i="22"/>
  <c r="D163" i="22"/>
  <c r="E163" i="22"/>
  <c r="F163" i="22"/>
  <c r="G163" i="22"/>
  <c r="H163" i="22"/>
  <c r="I163" i="22"/>
  <c r="D164" i="22"/>
  <c r="E164" i="22"/>
  <c r="F164" i="22"/>
  <c r="G164" i="22"/>
  <c r="H164" i="22"/>
  <c r="I164" i="22"/>
  <c r="D165" i="22"/>
  <c r="E165" i="22"/>
  <c r="F165" i="22"/>
  <c r="G165" i="22"/>
  <c r="H165" i="22"/>
  <c r="I165" i="22"/>
  <c r="D166" i="22"/>
  <c r="E166" i="22"/>
  <c r="F166" i="22"/>
  <c r="G166" i="22"/>
  <c r="H166" i="22"/>
  <c r="I166" i="22"/>
  <c r="D167" i="22"/>
  <c r="E167" i="22"/>
  <c r="F167" i="22"/>
  <c r="G167" i="22"/>
  <c r="H167" i="22"/>
  <c r="I167" i="22"/>
  <c r="D168" i="22"/>
  <c r="E168" i="22"/>
  <c r="F168" i="22"/>
  <c r="G168" i="22"/>
  <c r="H168" i="22"/>
  <c r="I168" i="22"/>
  <c r="D169" i="22"/>
  <c r="E169" i="22"/>
  <c r="F169" i="22"/>
  <c r="G169" i="22"/>
  <c r="H169" i="22"/>
  <c r="I169" i="22"/>
  <c r="D170" i="22"/>
  <c r="E170" i="22"/>
  <c r="F170" i="22"/>
  <c r="G170" i="22"/>
  <c r="H170" i="22"/>
  <c r="I170" i="22"/>
  <c r="D171" i="22"/>
  <c r="E171" i="22"/>
  <c r="F171" i="22"/>
  <c r="G171" i="22"/>
  <c r="H171" i="22"/>
  <c r="I171" i="22"/>
  <c r="D173" i="22"/>
  <c r="E173" i="22"/>
  <c r="F173" i="22"/>
  <c r="G173" i="22"/>
  <c r="H173" i="22"/>
  <c r="I173" i="22"/>
  <c r="D174" i="22"/>
  <c r="E174" i="22"/>
  <c r="F174" i="22"/>
  <c r="G174" i="22"/>
  <c r="H174" i="22"/>
  <c r="I174" i="22"/>
  <c r="D175" i="22"/>
  <c r="E175" i="22"/>
  <c r="F175" i="22"/>
  <c r="G175" i="22"/>
  <c r="H175" i="22"/>
  <c r="I175" i="22"/>
  <c r="D176" i="22"/>
  <c r="E176" i="22"/>
  <c r="F176" i="22"/>
  <c r="G176" i="22"/>
  <c r="H176" i="22"/>
  <c r="I176" i="22"/>
  <c r="D177" i="22"/>
  <c r="E177" i="22"/>
  <c r="F177" i="22"/>
  <c r="G177" i="22"/>
  <c r="H177" i="22"/>
  <c r="I177" i="22"/>
  <c r="D178" i="22"/>
  <c r="E178" i="22"/>
  <c r="F178" i="22"/>
  <c r="G178" i="22"/>
  <c r="H178" i="22"/>
  <c r="I178" i="22"/>
  <c r="D179" i="22"/>
  <c r="E179" i="22"/>
  <c r="F179" i="22"/>
  <c r="G179" i="22"/>
  <c r="H179" i="22"/>
  <c r="I179" i="22"/>
  <c r="D180" i="22"/>
  <c r="E180" i="22"/>
  <c r="F180" i="22"/>
  <c r="G180" i="22"/>
  <c r="H180" i="22"/>
  <c r="I180" i="22"/>
  <c r="D181" i="22"/>
  <c r="E181" i="22"/>
  <c r="F181" i="22"/>
  <c r="G181" i="22"/>
  <c r="H181" i="22"/>
  <c r="I181" i="22"/>
  <c r="D182" i="22"/>
  <c r="E182" i="22"/>
  <c r="F182" i="22"/>
  <c r="G182" i="22"/>
  <c r="H182" i="22"/>
  <c r="I182" i="22"/>
  <c r="D183" i="22"/>
  <c r="E183" i="22"/>
  <c r="F183" i="22"/>
  <c r="G183" i="22"/>
  <c r="H183" i="22"/>
  <c r="I183" i="22"/>
  <c r="D184" i="22"/>
  <c r="E184" i="22"/>
  <c r="F184" i="22"/>
  <c r="G184" i="22"/>
  <c r="H184" i="22"/>
  <c r="I184" i="22"/>
  <c r="D185" i="22"/>
  <c r="E185" i="22"/>
  <c r="F185" i="22"/>
  <c r="G185" i="22"/>
  <c r="H185" i="22"/>
  <c r="I185" i="22"/>
  <c r="D186" i="22"/>
  <c r="E186" i="22"/>
  <c r="F186" i="22"/>
  <c r="G186" i="22"/>
  <c r="H186" i="22"/>
  <c r="I186" i="22"/>
  <c r="D187" i="22"/>
  <c r="E187" i="22"/>
  <c r="F187" i="22"/>
  <c r="G187" i="22"/>
  <c r="H187" i="22"/>
  <c r="I187" i="22"/>
  <c r="D188" i="22"/>
  <c r="E188" i="22"/>
  <c r="F188" i="22"/>
  <c r="G188" i="22"/>
  <c r="H188" i="22"/>
  <c r="I188" i="22"/>
  <c r="D189" i="22"/>
  <c r="E189" i="22"/>
  <c r="F189" i="22"/>
  <c r="G189" i="22"/>
  <c r="H189" i="22"/>
  <c r="I189" i="22"/>
  <c r="D190" i="22"/>
  <c r="E190" i="22"/>
  <c r="F190" i="22"/>
  <c r="G190" i="22"/>
  <c r="H190" i="22"/>
  <c r="I190" i="22"/>
  <c r="D192" i="22"/>
  <c r="E192" i="22"/>
  <c r="F192" i="22"/>
  <c r="G192" i="22"/>
  <c r="H192" i="22"/>
  <c r="I192" i="22"/>
  <c r="D193" i="22"/>
  <c r="E193" i="22"/>
  <c r="F193" i="22"/>
  <c r="G193" i="22"/>
  <c r="H193" i="22"/>
  <c r="I193" i="22"/>
  <c r="D195" i="22"/>
  <c r="E195" i="22"/>
  <c r="F195" i="22"/>
  <c r="G195" i="22"/>
  <c r="H195" i="22"/>
  <c r="I195" i="22"/>
  <c r="D196" i="22"/>
  <c r="E196" i="22"/>
  <c r="F196" i="22"/>
  <c r="G196" i="22"/>
  <c r="H196" i="22"/>
  <c r="I196" i="22"/>
  <c r="D197" i="22"/>
  <c r="E197" i="22"/>
  <c r="F197" i="22"/>
  <c r="G197" i="22"/>
  <c r="H197" i="22"/>
  <c r="I197" i="22"/>
  <c r="D198" i="22"/>
  <c r="E198" i="22"/>
  <c r="F198" i="22"/>
  <c r="G198" i="22"/>
  <c r="H198" i="22"/>
  <c r="I198" i="22"/>
  <c r="D199" i="22"/>
  <c r="E199" i="22"/>
  <c r="F199" i="22"/>
  <c r="G199" i="22"/>
  <c r="H199" i="22"/>
  <c r="I199" i="22"/>
  <c r="D200" i="22"/>
  <c r="E200" i="22"/>
  <c r="F200" i="22"/>
  <c r="G200" i="22"/>
  <c r="H200" i="22"/>
  <c r="I200" i="22"/>
  <c r="D201" i="22"/>
  <c r="E201" i="22"/>
  <c r="F201" i="22"/>
  <c r="G201" i="22"/>
  <c r="H201" i="22"/>
  <c r="I201" i="22"/>
  <c r="D202" i="22"/>
  <c r="E202" i="22"/>
  <c r="F202" i="22"/>
  <c r="G202" i="22"/>
  <c r="H202" i="22"/>
  <c r="I202" i="22"/>
  <c r="D203" i="22"/>
  <c r="E203" i="22"/>
  <c r="F203" i="22"/>
  <c r="G203" i="22"/>
  <c r="H203" i="22"/>
  <c r="I203" i="22"/>
  <c r="D204" i="22"/>
  <c r="E204" i="22"/>
  <c r="F204" i="22"/>
  <c r="G204" i="22"/>
  <c r="H204" i="22"/>
  <c r="I204" i="22"/>
  <c r="D205" i="22"/>
  <c r="E205" i="22"/>
  <c r="F205" i="22"/>
  <c r="G205" i="22"/>
  <c r="H205" i="22"/>
  <c r="I205" i="22"/>
  <c r="D206" i="22"/>
  <c r="E206" i="22"/>
  <c r="F206" i="22"/>
  <c r="G206" i="22"/>
  <c r="H206" i="22"/>
  <c r="I206" i="22"/>
  <c r="D207" i="22"/>
  <c r="E207" i="22"/>
  <c r="F207" i="22"/>
  <c r="G207" i="22"/>
  <c r="H207" i="22"/>
  <c r="I207" i="22"/>
  <c r="D208" i="22"/>
  <c r="E208" i="22"/>
  <c r="F208" i="22"/>
  <c r="G208" i="22"/>
  <c r="H208" i="22"/>
  <c r="I208" i="22"/>
  <c r="D209" i="22"/>
  <c r="E209" i="22"/>
  <c r="F209" i="22"/>
  <c r="G209" i="22"/>
  <c r="H209" i="22"/>
  <c r="I209" i="22"/>
  <c r="D210" i="22"/>
  <c r="E210" i="22"/>
  <c r="F210" i="22"/>
  <c r="G210" i="22"/>
  <c r="H210" i="22"/>
  <c r="I210" i="22"/>
  <c r="D211" i="22"/>
  <c r="E211" i="22"/>
  <c r="F211" i="22"/>
  <c r="G211" i="22"/>
  <c r="H211" i="22"/>
  <c r="I211" i="22"/>
  <c r="D212" i="22"/>
  <c r="E212" i="22"/>
  <c r="F212" i="22"/>
  <c r="G212" i="22"/>
  <c r="H212" i="22"/>
  <c r="I212" i="22"/>
  <c r="D213" i="22"/>
  <c r="E213" i="22"/>
  <c r="F213" i="22"/>
  <c r="G213" i="22"/>
  <c r="H213" i="22"/>
  <c r="I213" i="22"/>
  <c r="D214" i="22"/>
  <c r="E214" i="22"/>
  <c r="F214" i="22"/>
  <c r="G214" i="22"/>
  <c r="H214" i="22"/>
  <c r="I214" i="22"/>
  <c r="D215" i="22"/>
  <c r="E215" i="22"/>
  <c r="F215" i="22"/>
  <c r="G215" i="22"/>
  <c r="H215" i="22"/>
  <c r="I215" i="22"/>
  <c r="D216" i="22"/>
  <c r="E216" i="22"/>
  <c r="F216" i="22"/>
  <c r="G216" i="22"/>
  <c r="H216" i="22"/>
  <c r="I216" i="22"/>
  <c r="D217" i="22"/>
  <c r="E217" i="22"/>
  <c r="F217" i="22"/>
  <c r="G217" i="22"/>
  <c r="H217" i="22"/>
  <c r="I217" i="22"/>
  <c r="D218" i="22"/>
  <c r="E218" i="22"/>
  <c r="F218" i="22"/>
  <c r="G218" i="22"/>
  <c r="H218" i="22"/>
  <c r="I218" i="22"/>
  <c r="D219" i="22"/>
  <c r="E219" i="22"/>
  <c r="F219" i="22"/>
  <c r="G219" i="22"/>
  <c r="H219" i="22"/>
  <c r="I219" i="22"/>
  <c r="D220" i="22"/>
  <c r="E220" i="22"/>
  <c r="F220" i="22"/>
  <c r="G220" i="22"/>
  <c r="H220" i="22"/>
  <c r="I220" i="22"/>
  <c r="D221" i="22"/>
  <c r="E221" i="22"/>
  <c r="F221" i="22"/>
  <c r="G221" i="22"/>
  <c r="H221" i="22"/>
  <c r="I221" i="22"/>
  <c r="D222" i="22"/>
  <c r="E222" i="22"/>
  <c r="F222" i="22"/>
  <c r="G222" i="22"/>
  <c r="H222" i="22"/>
  <c r="I222" i="22"/>
  <c r="D223" i="22"/>
  <c r="E223" i="22"/>
  <c r="F223" i="22"/>
  <c r="G223" i="22"/>
  <c r="H223" i="22"/>
  <c r="I223" i="22"/>
  <c r="D224" i="22"/>
  <c r="E224" i="22"/>
  <c r="F224" i="22"/>
  <c r="G224" i="22"/>
  <c r="H224" i="22"/>
  <c r="I224" i="22"/>
  <c r="D225" i="22"/>
  <c r="E225" i="22"/>
  <c r="F225" i="22"/>
  <c r="G225" i="22"/>
  <c r="H225" i="22"/>
  <c r="I225" i="22"/>
  <c r="D226" i="22"/>
  <c r="E226" i="22"/>
  <c r="F226" i="22"/>
  <c r="G226" i="22"/>
  <c r="H226" i="22"/>
  <c r="I226" i="22"/>
  <c r="D227" i="22"/>
  <c r="E227" i="22"/>
  <c r="F227" i="22"/>
  <c r="G227" i="22"/>
  <c r="H227" i="22"/>
  <c r="I227" i="22"/>
  <c r="D228" i="22"/>
  <c r="E228" i="22"/>
  <c r="F228" i="22"/>
  <c r="G228" i="22"/>
  <c r="H228" i="22"/>
  <c r="I228" i="22"/>
  <c r="D229" i="22"/>
  <c r="E229" i="22"/>
  <c r="F229" i="22"/>
  <c r="G229" i="22"/>
  <c r="H229" i="22"/>
  <c r="I229" i="22"/>
  <c r="D230" i="22"/>
  <c r="E230" i="22"/>
  <c r="F230" i="22"/>
  <c r="G230" i="22"/>
  <c r="H230" i="22"/>
  <c r="I230" i="22"/>
  <c r="D231" i="22"/>
  <c r="E231" i="22"/>
  <c r="F231" i="22"/>
  <c r="G231" i="22"/>
  <c r="H231" i="22"/>
  <c r="I231" i="22"/>
  <c r="D232" i="22"/>
  <c r="E232" i="22"/>
  <c r="F232" i="22"/>
  <c r="G232" i="22"/>
  <c r="H232" i="22"/>
  <c r="I232" i="22"/>
  <c r="D233" i="22"/>
  <c r="E233" i="22"/>
  <c r="F233" i="22"/>
  <c r="G233" i="22"/>
  <c r="H233" i="22"/>
  <c r="I233" i="22"/>
  <c r="D234" i="22"/>
  <c r="E234" i="22"/>
  <c r="F234" i="22"/>
  <c r="G234" i="22"/>
  <c r="H234" i="22"/>
  <c r="I234" i="22"/>
  <c r="D235" i="22"/>
  <c r="E235" i="22"/>
  <c r="F235" i="22"/>
  <c r="G235" i="22"/>
  <c r="H235" i="22"/>
  <c r="I235" i="22"/>
  <c r="D236" i="22"/>
  <c r="E236" i="22"/>
  <c r="F236" i="22"/>
  <c r="G236" i="22"/>
  <c r="H236" i="22"/>
  <c r="I236" i="22"/>
  <c r="D237" i="22"/>
  <c r="E237" i="22"/>
  <c r="F237" i="22"/>
  <c r="G237" i="22"/>
  <c r="H237" i="22"/>
  <c r="I237" i="22"/>
  <c r="D238" i="22"/>
  <c r="E238" i="22"/>
  <c r="F238" i="22"/>
  <c r="G238" i="22"/>
  <c r="H238" i="22"/>
  <c r="I238" i="22"/>
  <c r="D239" i="22"/>
  <c r="F239" i="22"/>
  <c r="G239" i="22"/>
  <c r="H239" i="22"/>
  <c r="I239" i="22"/>
  <c r="D240" i="22"/>
  <c r="E240" i="22"/>
  <c r="F240" i="22"/>
  <c r="G240" i="22"/>
  <c r="H240" i="22"/>
  <c r="I240" i="22"/>
  <c r="D241" i="22"/>
  <c r="E241" i="22"/>
  <c r="F241" i="22"/>
  <c r="G241" i="22"/>
  <c r="H241" i="22"/>
  <c r="I241" i="22"/>
  <c r="D242" i="22"/>
  <c r="E242" i="22"/>
  <c r="F242" i="22"/>
  <c r="G242" i="22"/>
  <c r="H242" i="22"/>
  <c r="I242" i="22"/>
  <c r="D243" i="22"/>
  <c r="E243" i="22"/>
  <c r="F243" i="22"/>
  <c r="G243" i="22"/>
  <c r="H243" i="22"/>
  <c r="I243" i="22"/>
  <c r="D244" i="22"/>
  <c r="E244" i="22"/>
  <c r="F244" i="22"/>
  <c r="G244" i="22"/>
  <c r="H244" i="22"/>
  <c r="I244" i="22"/>
  <c r="D245" i="22"/>
  <c r="E245" i="22"/>
  <c r="F245" i="22"/>
  <c r="G245" i="22"/>
  <c r="H245" i="22"/>
  <c r="I245" i="22"/>
  <c r="D246" i="22"/>
  <c r="E246" i="22"/>
  <c r="F246" i="22"/>
  <c r="G246" i="22"/>
  <c r="H246" i="22"/>
  <c r="I246" i="22"/>
  <c r="D247" i="22"/>
  <c r="E247" i="22"/>
  <c r="F247" i="22"/>
  <c r="G247" i="22"/>
  <c r="H247" i="22"/>
  <c r="I247" i="22"/>
  <c r="D248" i="22"/>
  <c r="E248" i="22"/>
  <c r="F248" i="22"/>
  <c r="G248" i="22"/>
  <c r="H248" i="22"/>
  <c r="I248" i="22"/>
  <c r="D249" i="22"/>
  <c r="E249" i="22"/>
  <c r="F249" i="22"/>
  <c r="G249" i="22"/>
  <c r="H249" i="22"/>
  <c r="I249" i="22"/>
  <c r="D250" i="22"/>
  <c r="E250" i="22"/>
  <c r="F250" i="22"/>
  <c r="G250" i="22"/>
  <c r="H250" i="22"/>
  <c r="I250" i="22"/>
  <c r="D251" i="22"/>
  <c r="E251" i="22"/>
  <c r="F251" i="22"/>
  <c r="G251" i="22"/>
  <c r="H251" i="22"/>
  <c r="I251" i="22"/>
  <c r="D252" i="22"/>
  <c r="E252" i="22"/>
  <c r="F252" i="22"/>
  <c r="G252" i="22"/>
  <c r="H252" i="22"/>
  <c r="I252" i="22"/>
  <c r="D253" i="22"/>
  <c r="E253" i="22"/>
  <c r="F253" i="22"/>
  <c r="G253" i="22"/>
  <c r="H253" i="22"/>
  <c r="I253" i="22"/>
  <c r="D254" i="22"/>
  <c r="E254" i="22"/>
  <c r="F254" i="22"/>
  <c r="G254" i="22"/>
  <c r="I254" i="22"/>
  <c r="D255" i="22"/>
  <c r="E255" i="22"/>
  <c r="F255" i="22"/>
  <c r="G255" i="22"/>
  <c r="H255" i="22"/>
  <c r="I255" i="22"/>
  <c r="D257" i="22"/>
  <c r="G257" i="22"/>
  <c r="I257" i="22"/>
  <c r="D258" i="22"/>
  <c r="E258" i="22"/>
  <c r="F258" i="22"/>
  <c r="G258" i="22"/>
  <c r="H258" i="22"/>
  <c r="I258" i="22"/>
  <c r="D259" i="22"/>
  <c r="E259" i="22"/>
  <c r="F259" i="22"/>
  <c r="G259" i="22"/>
  <c r="H259" i="22"/>
  <c r="I259" i="22"/>
  <c r="D260" i="22"/>
  <c r="E260" i="22"/>
  <c r="F260" i="22"/>
  <c r="G260" i="22"/>
  <c r="H260" i="22"/>
  <c r="I260" i="22"/>
  <c r="D261" i="22"/>
  <c r="F261" i="22"/>
  <c r="G261" i="22"/>
  <c r="H261" i="22"/>
  <c r="I261" i="22"/>
  <c r="D262" i="22"/>
  <c r="E262" i="22"/>
  <c r="F262" i="22"/>
  <c r="G262" i="22"/>
  <c r="H262" i="22"/>
  <c r="I262" i="22"/>
  <c r="D263" i="22"/>
  <c r="E263" i="22"/>
  <c r="F263" i="22"/>
  <c r="G263" i="22"/>
  <c r="H263" i="22"/>
  <c r="I263" i="22"/>
  <c r="D264" i="22"/>
  <c r="E264" i="22"/>
  <c r="F264" i="22"/>
  <c r="G264" i="22"/>
  <c r="H264" i="22"/>
  <c r="I264" i="22"/>
  <c r="D265" i="22"/>
  <c r="E265" i="22"/>
  <c r="F265" i="22"/>
  <c r="G265" i="22"/>
  <c r="H265" i="22"/>
  <c r="I265" i="22"/>
  <c r="D266" i="22"/>
  <c r="E266" i="22"/>
  <c r="F266" i="22"/>
  <c r="G266" i="22"/>
  <c r="H266" i="22"/>
  <c r="I266" i="22"/>
  <c r="E267" i="22"/>
  <c r="F267" i="22"/>
  <c r="G267" i="22"/>
  <c r="H267" i="22"/>
  <c r="I267" i="22"/>
  <c r="D268" i="22"/>
  <c r="E268" i="22"/>
  <c r="F268" i="22"/>
  <c r="G268" i="22"/>
  <c r="H268" i="22"/>
  <c r="I268" i="22"/>
  <c r="D269" i="22"/>
  <c r="E269" i="22"/>
  <c r="F269" i="22"/>
  <c r="G269" i="22"/>
  <c r="H269" i="22"/>
  <c r="I269" i="22"/>
  <c r="I270" i="22"/>
  <c r="I271" i="22"/>
  <c r="D272" i="22"/>
  <c r="E272" i="22"/>
  <c r="F272" i="22"/>
  <c r="G272" i="22"/>
  <c r="H272" i="22"/>
  <c r="I272" i="22"/>
  <c r="D273" i="22"/>
  <c r="E273" i="22"/>
  <c r="F273" i="22"/>
  <c r="G273" i="22"/>
  <c r="H273" i="22"/>
  <c r="I273" i="22"/>
  <c r="D274" i="22"/>
  <c r="E274" i="22"/>
  <c r="F274" i="22"/>
  <c r="G274" i="22"/>
  <c r="H274" i="22"/>
  <c r="I274" i="22"/>
  <c r="D275" i="22"/>
  <c r="E275" i="22"/>
  <c r="F275" i="22"/>
  <c r="G275" i="22"/>
  <c r="H275" i="22"/>
  <c r="I275" i="22"/>
  <c r="D276" i="22"/>
  <c r="E276" i="22"/>
  <c r="F276" i="22"/>
  <c r="G276" i="22"/>
  <c r="H276" i="22"/>
  <c r="I276" i="22"/>
  <c r="D277" i="22"/>
  <c r="E277" i="22"/>
  <c r="F277" i="22"/>
  <c r="G277" i="22"/>
  <c r="H277" i="22"/>
  <c r="I277" i="22"/>
  <c r="D278" i="22"/>
  <c r="E278" i="22"/>
  <c r="F278" i="22"/>
  <c r="G278" i="22"/>
  <c r="H278" i="22"/>
  <c r="I278" i="22"/>
  <c r="D279" i="22"/>
  <c r="E279" i="22"/>
  <c r="F279" i="22"/>
  <c r="G279" i="22"/>
  <c r="H279" i="22"/>
  <c r="I279" i="22"/>
  <c r="D280" i="22"/>
  <c r="E280" i="22"/>
  <c r="F280" i="22"/>
  <c r="G280" i="22"/>
  <c r="H280" i="22"/>
  <c r="I280" i="22"/>
  <c r="D281" i="22"/>
  <c r="E281" i="22"/>
  <c r="F281" i="22"/>
  <c r="G281" i="22"/>
  <c r="H281" i="22"/>
  <c r="I281" i="22"/>
  <c r="D282" i="22"/>
  <c r="E282" i="22"/>
  <c r="F282" i="22"/>
  <c r="G282" i="22"/>
  <c r="H282" i="22"/>
  <c r="I282" i="22"/>
  <c r="D283" i="22"/>
  <c r="E283" i="22"/>
  <c r="F283" i="22"/>
  <c r="G283" i="22"/>
  <c r="H283" i="22"/>
  <c r="I283" i="22"/>
  <c r="D284" i="22"/>
  <c r="E284" i="22"/>
  <c r="F284" i="22"/>
  <c r="G284" i="22"/>
  <c r="H284" i="22"/>
  <c r="I284" i="22"/>
  <c r="D285" i="22"/>
  <c r="E285" i="22"/>
  <c r="F285" i="22"/>
  <c r="G285" i="22"/>
  <c r="H285" i="22"/>
  <c r="I285" i="22"/>
  <c r="D286" i="22"/>
  <c r="E286" i="22"/>
  <c r="F286" i="22"/>
  <c r="G286" i="22"/>
  <c r="H286" i="22"/>
  <c r="I286" i="22"/>
  <c r="D287" i="22"/>
  <c r="E287" i="22"/>
  <c r="F287" i="22"/>
  <c r="G287" i="22"/>
  <c r="H287" i="22"/>
  <c r="I287" i="22"/>
  <c r="D288" i="22"/>
  <c r="E288" i="22"/>
  <c r="F288" i="22"/>
  <c r="G288" i="22"/>
  <c r="H288" i="22"/>
  <c r="I288" i="22"/>
  <c r="D289" i="22"/>
  <c r="E289" i="22"/>
  <c r="F289" i="22"/>
  <c r="G289" i="22"/>
  <c r="H289" i="22"/>
  <c r="I289" i="22"/>
  <c r="D290" i="22"/>
  <c r="E290" i="22"/>
  <c r="F290" i="22"/>
  <c r="G290" i="22"/>
  <c r="H290" i="22"/>
  <c r="I290" i="22"/>
  <c r="D291" i="22"/>
  <c r="E291" i="22"/>
  <c r="F291" i="22"/>
  <c r="G291" i="22"/>
  <c r="H291" i="22"/>
  <c r="I291" i="22"/>
  <c r="D294" i="22"/>
  <c r="E294" i="22"/>
  <c r="F294" i="22"/>
  <c r="G294" i="22"/>
  <c r="H294" i="22"/>
  <c r="I294" i="22"/>
  <c r="D295" i="22"/>
  <c r="E295" i="22"/>
  <c r="F295" i="22"/>
  <c r="G295" i="22"/>
  <c r="H295" i="22"/>
  <c r="I295" i="22"/>
  <c r="D296" i="22"/>
  <c r="E296" i="22"/>
  <c r="F296" i="22"/>
  <c r="G296" i="22"/>
  <c r="H296" i="22"/>
  <c r="I296" i="22"/>
  <c r="D297" i="22"/>
  <c r="E297" i="22"/>
  <c r="F297" i="22"/>
  <c r="G297" i="22"/>
  <c r="H297" i="22"/>
  <c r="I297" i="22"/>
  <c r="D298" i="22"/>
  <c r="E298" i="22"/>
  <c r="F298" i="22"/>
  <c r="G298" i="22"/>
  <c r="H298" i="22"/>
  <c r="I298" i="22"/>
  <c r="D299" i="22"/>
  <c r="E299" i="22"/>
  <c r="F299" i="22"/>
  <c r="G299" i="22"/>
  <c r="H299" i="22"/>
  <c r="I299" i="22"/>
  <c r="D300" i="22"/>
  <c r="E300" i="22"/>
  <c r="F300" i="22"/>
  <c r="G300" i="22"/>
  <c r="H300" i="22"/>
  <c r="I300" i="22"/>
  <c r="D301" i="22"/>
  <c r="E301" i="22"/>
  <c r="F301" i="22"/>
  <c r="G301" i="22"/>
  <c r="H301" i="22"/>
  <c r="I301" i="22"/>
  <c r="D302" i="22"/>
  <c r="E302" i="22"/>
  <c r="F302" i="22"/>
  <c r="G302" i="22"/>
  <c r="H302" i="22"/>
  <c r="I302" i="22"/>
  <c r="D303" i="22"/>
  <c r="E303" i="22"/>
  <c r="F303" i="22"/>
  <c r="G303" i="22"/>
  <c r="H303" i="22"/>
  <c r="I303" i="22"/>
  <c r="D304" i="22"/>
  <c r="E304" i="22"/>
  <c r="F304" i="22"/>
  <c r="G304" i="22"/>
  <c r="I304" i="22"/>
  <c r="D305" i="22"/>
  <c r="E305" i="22"/>
  <c r="F305" i="22"/>
  <c r="G305" i="22"/>
  <c r="H305" i="22"/>
  <c r="I305" i="22"/>
  <c r="D306" i="22"/>
  <c r="E306" i="22"/>
  <c r="F306" i="22"/>
  <c r="G306" i="22"/>
  <c r="H306" i="22"/>
  <c r="I306" i="22"/>
  <c r="D307" i="22"/>
  <c r="E307" i="22"/>
  <c r="F307" i="22"/>
  <c r="G307" i="22"/>
  <c r="H307" i="22"/>
  <c r="I307" i="22"/>
  <c r="D308" i="22"/>
  <c r="E308" i="22"/>
  <c r="F308" i="22"/>
  <c r="G308" i="22"/>
  <c r="H308" i="22"/>
  <c r="I308" i="22"/>
  <c r="D309" i="22"/>
  <c r="E309" i="22"/>
  <c r="F309" i="22"/>
  <c r="G309" i="22"/>
  <c r="H309" i="22"/>
  <c r="I309" i="22"/>
  <c r="D310" i="22"/>
  <c r="E310" i="22"/>
  <c r="F310" i="22"/>
  <c r="G310" i="22"/>
  <c r="H310" i="22"/>
  <c r="I310" i="22"/>
  <c r="D311" i="22"/>
  <c r="E311" i="22"/>
  <c r="F311" i="22"/>
  <c r="G311" i="22"/>
  <c r="H311" i="22"/>
  <c r="I311" i="22"/>
  <c r="D312" i="22"/>
  <c r="E312" i="22"/>
  <c r="F312" i="22"/>
  <c r="G312" i="22"/>
  <c r="H312" i="22"/>
  <c r="I312" i="22"/>
  <c r="D313" i="22"/>
  <c r="F313" i="22"/>
  <c r="G313" i="22"/>
  <c r="H313" i="22"/>
  <c r="I313" i="22"/>
  <c r="D314" i="22"/>
  <c r="F314" i="22"/>
  <c r="G314" i="22"/>
  <c r="H314" i="22"/>
  <c r="I314" i="22"/>
  <c r="D315" i="22"/>
  <c r="F315" i="22"/>
  <c r="G315" i="22"/>
  <c r="H315" i="22"/>
  <c r="I315" i="22"/>
  <c r="D316" i="22"/>
  <c r="E316" i="22"/>
  <c r="F316" i="22"/>
  <c r="G316" i="22"/>
  <c r="H316" i="22"/>
  <c r="I316" i="22"/>
  <c r="D317" i="22"/>
  <c r="E317" i="22"/>
  <c r="F317" i="22"/>
  <c r="G317" i="22"/>
  <c r="H317" i="22"/>
  <c r="I317" i="22"/>
  <c r="D318" i="22"/>
  <c r="F318" i="22"/>
  <c r="G318" i="22"/>
  <c r="H318" i="22"/>
  <c r="I318" i="22"/>
  <c r="D319" i="22"/>
  <c r="F319" i="22"/>
  <c r="G319" i="22"/>
  <c r="H319" i="22"/>
  <c r="I319" i="22"/>
  <c r="D320" i="22"/>
  <c r="E320" i="22"/>
  <c r="F320" i="22"/>
  <c r="G320" i="22"/>
  <c r="H320" i="22"/>
  <c r="I320" i="22"/>
  <c r="D321" i="22"/>
  <c r="E321" i="22"/>
  <c r="F321" i="22"/>
  <c r="G321" i="22"/>
  <c r="H321" i="22"/>
  <c r="I321" i="22"/>
  <c r="D322" i="22"/>
  <c r="E322" i="22"/>
  <c r="F322" i="22"/>
  <c r="G322" i="22"/>
  <c r="H322" i="22"/>
  <c r="I322" i="22"/>
  <c r="D323" i="22"/>
  <c r="E323" i="22"/>
  <c r="F323" i="22"/>
  <c r="G323" i="22"/>
  <c r="H323" i="22"/>
  <c r="I323" i="22"/>
  <c r="D324" i="22"/>
  <c r="E324" i="22"/>
  <c r="F324" i="22"/>
  <c r="G324" i="22"/>
  <c r="H324" i="22"/>
  <c r="I324" i="22"/>
  <c r="D325" i="22"/>
  <c r="E325" i="22"/>
  <c r="F325" i="22"/>
  <c r="G325" i="22"/>
  <c r="H325" i="22"/>
  <c r="I325" i="22"/>
  <c r="D326" i="22"/>
  <c r="E326" i="22"/>
  <c r="F326" i="22"/>
  <c r="G326" i="22"/>
  <c r="H326" i="22"/>
  <c r="I326" i="22"/>
  <c r="D327" i="22"/>
  <c r="E327" i="22"/>
  <c r="F327" i="22"/>
  <c r="G327" i="22"/>
  <c r="H327" i="22"/>
  <c r="I327" i="22"/>
  <c r="D328" i="22"/>
  <c r="E328" i="22"/>
  <c r="F328" i="22"/>
  <c r="G328" i="22"/>
  <c r="H328" i="22"/>
  <c r="I328" i="22"/>
  <c r="D329" i="22"/>
  <c r="E329" i="22"/>
  <c r="F329" i="22"/>
  <c r="G329" i="22"/>
  <c r="H329" i="22"/>
  <c r="I329" i="22"/>
  <c r="D330" i="22"/>
  <c r="E330" i="22"/>
  <c r="F330" i="22"/>
  <c r="G330" i="22"/>
  <c r="H330" i="22"/>
  <c r="I330" i="22"/>
  <c r="D331" i="22"/>
  <c r="E331" i="22"/>
  <c r="F331" i="22"/>
  <c r="G331" i="22"/>
  <c r="H331" i="22"/>
  <c r="I331" i="22"/>
  <c r="D332" i="22"/>
  <c r="E332" i="22"/>
  <c r="F332" i="22"/>
  <c r="G332" i="22"/>
  <c r="H332" i="22"/>
  <c r="I332" i="22"/>
  <c r="D333" i="22"/>
  <c r="E333" i="22"/>
  <c r="F333" i="22"/>
  <c r="G333" i="22"/>
  <c r="H333" i="22"/>
  <c r="I333" i="22"/>
  <c r="D334" i="22"/>
  <c r="E334" i="22"/>
  <c r="F334" i="22"/>
  <c r="G334" i="22"/>
  <c r="H334" i="22"/>
  <c r="I334" i="22"/>
  <c r="D335" i="22"/>
  <c r="F335" i="22"/>
  <c r="G335" i="22"/>
  <c r="H335" i="22"/>
  <c r="I335" i="22"/>
  <c r="D336" i="22"/>
  <c r="E336" i="22"/>
  <c r="F336" i="22"/>
  <c r="G336" i="22"/>
  <c r="H336" i="22"/>
  <c r="I336" i="22"/>
  <c r="D337" i="22"/>
  <c r="E337" i="22"/>
  <c r="F337" i="22"/>
  <c r="G337" i="22"/>
  <c r="H337" i="22"/>
  <c r="I337" i="22"/>
  <c r="D340" i="22"/>
  <c r="E340" i="22"/>
  <c r="F340" i="22"/>
  <c r="G340" i="22"/>
  <c r="H340" i="22"/>
  <c r="I340" i="22"/>
  <c r="D341" i="22"/>
  <c r="E341" i="22"/>
  <c r="F341" i="22"/>
  <c r="G341" i="22"/>
  <c r="I341" i="22"/>
  <c r="D342" i="22"/>
  <c r="E342" i="22"/>
  <c r="F342" i="22"/>
  <c r="G342" i="22"/>
  <c r="H342" i="22"/>
  <c r="I342" i="22"/>
  <c r="D343" i="22"/>
  <c r="E343" i="22"/>
  <c r="F343" i="22"/>
  <c r="G343" i="22"/>
  <c r="H343" i="22"/>
  <c r="I343" i="22"/>
  <c r="D344" i="22"/>
  <c r="E344" i="22"/>
  <c r="F344" i="22"/>
  <c r="G344" i="22"/>
  <c r="H344" i="22"/>
  <c r="I344" i="22"/>
  <c r="D345" i="22"/>
  <c r="E345" i="22"/>
  <c r="F345" i="22"/>
  <c r="G345" i="22"/>
  <c r="I345" i="22"/>
  <c r="D346" i="22"/>
  <c r="E346" i="22"/>
  <c r="F346" i="22"/>
  <c r="G346" i="22"/>
  <c r="H346" i="22"/>
  <c r="I346" i="22"/>
  <c r="D347" i="22"/>
  <c r="E347" i="22"/>
  <c r="F347" i="22"/>
  <c r="G347" i="22"/>
  <c r="H347" i="22"/>
  <c r="I347" i="22"/>
  <c r="D348" i="22"/>
  <c r="E348" i="22"/>
  <c r="F348" i="22"/>
  <c r="G348" i="22"/>
  <c r="H348" i="22"/>
  <c r="I348" i="22"/>
  <c r="D349" i="22"/>
  <c r="E349" i="22"/>
  <c r="F349" i="22"/>
  <c r="G349" i="22"/>
  <c r="H349" i="22"/>
  <c r="I349" i="22"/>
  <c r="D350" i="22"/>
  <c r="E350" i="22"/>
  <c r="F350" i="22"/>
  <c r="G350" i="22"/>
  <c r="H350" i="22"/>
  <c r="I350" i="22"/>
  <c r="D351" i="22"/>
  <c r="E351" i="22"/>
  <c r="F351" i="22"/>
  <c r="G351" i="22"/>
  <c r="H351" i="22"/>
  <c r="I351" i="22"/>
  <c r="D352" i="22"/>
  <c r="E352" i="22"/>
  <c r="F352" i="22"/>
  <c r="G352" i="22"/>
  <c r="H352" i="22"/>
  <c r="I352" i="22"/>
  <c r="D353" i="22"/>
  <c r="E353" i="22"/>
  <c r="F353" i="22"/>
  <c r="G353" i="22"/>
  <c r="H353" i="22"/>
  <c r="I353" i="22"/>
  <c r="D354" i="22"/>
  <c r="E354" i="22"/>
  <c r="F354" i="22"/>
  <c r="G354" i="22"/>
  <c r="H354" i="22"/>
  <c r="I354" i="22"/>
  <c r="D355" i="22"/>
  <c r="E355" i="22"/>
  <c r="F355" i="22"/>
  <c r="G355" i="22"/>
  <c r="H355" i="22"/>
  <c r="I355" i="22"/>
  <c r="D356" i="22"/>
  <c r="E356" i="22"/>
  <c r="F356" i="22"/>
  <c r="G356" i="22"/>
  <c r="H356" i="22"/>
  <c r="I356" i="22"/>
  <c r="D357" i="22"/>
  <c r="E357" i="22"/>
  <c r="F357" i="22"/>
  <c r="G357" i="22"/>
  <c r="H357" i="22"/>
  <c r="I357" i="22"/>
  <c r="D358" i="22"/>
  <c r="E358" i="22"/>
  <c r="F358" i="22"/>
  <c r="G358" i="22"/>
  <c r="H358" i="22"/>
  <c r="I358" i="22"/>
  <c r="D359" i="22"/>
  <c r="E359" i="22"/>
  <c r="F359" i="22"/>
  <c r="G359" i="22"/>
  <c r="H359" i="22"/>
  <c r="I359" i="22"/>
  <c r="D360" i="22"/>
  <c r="E360" i="22"/>
  <c r="F360" i="22"/>
  <c r="G360" i="22"/>
  <c r="H360" i="22"/>
  <c r="I360" i="22"/>
  <c r="D361" i="22"/>
  <c r="E361" i="22"/>
  <c r="F361" i="22"/>
  <c r="G361" i="22"/>
  <c r="H361" i="22"/>
  <c r="I361" i="22"/>
  <c r="D362" i="22"/>
  <c r="E362" i="22"/>
  <c r="F362" i="22"/>
  <c r="G362" i="22"/>
  <c r="H362" i="22"/>
  <c r="I362" i="22"/>
  <c r="D363" i="22"/>
  <c r="E363" i="22"/>
  <c r="F363" i="22"/>
  <c r="G363" i="22"/>
  <c r="I363" i="22"/>
  <c r="D364" i="22"/>
  <c r="E364" i="22"/>
  <c r="F364" i="22"/>
  <c r="G364" i="22"/>
  <c r="H364" i="22"/>
  <c r="I364" i="22"/>
  <c r="D365" i="22"/>
  <c r="E365" i="22"/>
  <c r="F365" i="22"/>
  <c r="G365" i="22"/>
  <c r="H365" i="22"/>
  <c r="I365" i="22"/>
  <c r="D366" i="22"/>
  <c r="E366" i="22"/>
  <c r="F366" i="22"/>
  <c r="G366" i="22"/>
  <c r="H366" i="22"/>
  <c r="I366" i="22"/>
  <c r="D367" i="22"/>
  <c r="E367" i="22"/>
  <c r="F367" i="22"/>
  <c r="G367" i="22"/>
  <c r="H367" i="22"/>
  <c r="I367" i="22"/>
  <c r="D368" i="22"/>
  <c r="E368" i="22"/>
  <c r="F368" i="22"/>
  <c r="G368" i="22"/>
  <c r="H368" i="22"/>
  <c r="I368" i="22"/>
  <c r="D369" i="22"/>
  <c r="E369" i="22"/>
  <c r="F369" i="22"/>
  <c r="G369" i="22"/>
  <c r="H369" i="22"/>
  <c r="I369" i="22"/>
  <c r="D370" i="22"/>
  <c r="E370" i="22"/>
  <c r="F370" i="22"/>
  <c r="G370" i="22"/>
  <c r="H370" i="22"/>
  <c r="I370" i="22"/>
  <c r="D371" i="22"/>
  <c r="E371" i="22"/>
  <c r="F371" i="22"/>
  <c r="G371" i="22"/>
  <c r="H371" i="22"/>
  <c r="I371" i="22"/>
  <c r="D372" i="22"/>
  <c r="E372" i="22"/>
  <c r="F372" i="22"/>
  <c r="G372" i="22"/>
  <c r="H372" i="22"/>
  <c r="I372" i="22"/>
  <c r="D373" i="22"/>
  <c r="E373" i="22"/>
  <c r="F373" i="22"/>
  <c r="G373" i="22"/>
  <c r="H373" i="22"/>
  <c r="I373" i="22"/>
  <c r="D374" i="22"/>
  <c r="E374" i="22"/>
  <c r="F374" i="22"/>
  <c r="G374" i="22"/>
  <c r="H374" i="22"/>
  <c r="I374" i="22"/>
  <c r="D375" i="22"/>
  <c r="E375" i="22"/>
  <c r="F375" i="22"/>
  <c r="G375" i="22"/>
  <c r="H375" i="22"/>
  <c r="I375" i="22"/>
  <c r="D376" i="22"/>
  <c r="E376" i="22"/>
  <c r="F376" i="22"/>
  <c r="G376" i="22"/>
  <c r="H376" i="22"/>
  <c r="I376" i="22"/>
  <c r="D377" i="22"/>
  <c r="E377" i="22"/>
  <c r="F377" i="22"/>
  <c r="G377" i="22"/>
  <c r="H377" i="22"/>
  <c r="I377" i="22"/>
  <c r="D378" i="22"/>
  <c r="E378" i="22"/>
  <c r="F378" i="22"/>
  <c r="G378" i="22"/>
  <c r="H378" i="22"/>
  <c r="I378" i="22"/>
  <c r="D379" i="22"/>
  <c r="E379" i="22"/>
  <c r="F379" i="22"/>
  <c r="G379" i="22"/>
  <c r="H379" i="22"/>
  <c r="I379" i="22"/>
  <c r="D380" i="22"/>
  <c r="E380" i="22"/>
  <c r="F380" i="22"/>
  <c r="G380" i="22"/>
  <c r="H380" i="22"/>
  <c r="I380" i="22"/>
  <c r="D381" i="22"/>
  <c r="E381" i="22"/>
  <c r="F381" i="22"/>
  <c r="G381" i="22"/>
  <c r="H381" i="22"/>
  <c r="I381" i="22"/>
  <c r="D382" i="22"/>
  <c r="E382" i="22"/>
  <c r="F382" i="22"/>
  <c r="G382" i="22"/>
  <c r="H382" i="22"/>
  <c r="I382" i="22"/>
  <c r="D383" i="22"/>
  <c r="E383" i="22"/>
  <c r="F383" i="22"/>
  <c r="G383" i="22"/>
  <c r="H383" i="22"/>
  <c r="I383" i="22"/>
  <c r="D384" i="22"/>
  <c r="E384" i="22"/>
  <c r="F384" i="22"/>
  <c r="G384" i="22"/>
  <c r="H384" i="22"/>
  <c r="I384" i="22"/>
  <c r="D385" i="22"/>
  <c r="E385" i="22"/>
  <c r="F385" i="22"/>
  <c r="G385" i="22"/>
  <c r="H385" i="22"/>
  <c r="I385" i="22"/>
  <c r="D387" i="22"/>
  <c r="E387" i="22"/>
  <c r="F387" i="22"/>
  <c r="G387" i="22"/>
  <c r="H387" i="22"/>
  <c r="I387" i="22"/>
  <c r="D388" i="22"/>
  <c r="E388" i="22"/>
  <c r="F388" i="22"/>
  <c r="G388" i="22"/>
  <c r="H388" i="22"/>
  <c r="I388" i="22"/>
  <c r="D389" i="22"/>
  <c r="E389" i="22"/>
  <c r="F389" i="22"/>
  <c r="G389" i="22"/>
  <c r="H389" i="22"/>
  <c r="I389" i="22"/>
  <c r="D390" i="22"/>
  <c r="E390" i="22"/>
  <c r="F390" i="22"/>
  <c r="G390" i="22"/>
  <c r="H390" i="22"/>
  <c r="I390" i="22"/>
  <c r="D391" i="22"/>
  <c r="E391" i="22"/>
  <c r="F391" i="22"/>
  <c r="G391" i="22"/>
  <c r="H391" i="22"/>
  <c r="I391" i="22"/>
  <c r="D393" i="22"/>
  <c r="E393" i="22"/>
  <c r="F393" i="22"/>
  <c r="G393" i="22"/>
  <c r="H393" i="22"/>
  <c r="I393" i="22"/>
  <c r="D394" i="22"/>
  <c r="E394" i="22"/>
  <c r="F394" i="22"/>
  <c r="G394" i="22"/>
  <c r="H394" i="22"/>
  <c r="I394" i="22"/>
  <c r="D395" i="22"/>
  <c r="E395" i="22"/>
  <c r="F395" i="22"/>
  <c r="G395" i="22"/>
  <c r="H395" i="22"/>
  <c r="I395" i="22"/>
  <c r="D396" i="22"/>
  <c r="E396" i="22"/>
  <c r="F396" i="22"/>
  <c r="G396" i="22"/>
  <c r="H396" i="22"/>
  <c r="I396" i="22"/>
  <c r="D397" i="22"/>
  <c r="E397" i="22"/>
  <c r="F397" i="22"/>
  <c r="G397" i="22"/>
  <c r="H397" i="22"/>
  <c r="I397" i="22"/>
  <c r="D398" i="22"/>
  <c r="E398" i="22"/>
  <c r="F398" i="22"/>
  <c r="F471" i="22" s="1"/>
  <c r="G398" i="22"/>
  <c r="G471" i="22" s="1"/>
  <c r="H398" i="22"/>
  <c r="H471" i="22" s="1"/>
  <c r="I398" i="22"/>
  <c r="D399" i="22"/>
  <c r="E399" i="22"/>
  <c r="F399" i="22"/>
  <c r="G399" i="22"/>
  <c r="H399" i="22"/>
  <c r="I399" i="22"/>
  <c r="D400" i="22"/>
  <c r="E400" i="22"/>
  <c r="F400" i="22"/>
  <c r="G400" i="22"/>
  <c r="H400" i="22"/>
  <c r="I400" i="22"/>
  <c r="D401" i="22"/>
  <c r="E401" i="22"/>
  <c r="F401" i="22"/>
  <c r="G401" i="22"/>
  <c r="H401" i="22"/>
  <c r="I401" i="22"/>
  <c r="D402" i="22"/>
  <c r="E402" i="22"/>
  <c r="F402" i="22"/>
  <c r="G402" i="22"/>
  <c r="H402" i="22"/>
  <c r="I402" i="22"/>
  <c r="D403" i="22"/>
  <c r="E403" i="22"/>
  <c r="F403" i="22"/>
  <c r="G403" i="22"/>
  <c r="H403" i="22"/>
  <c r="I403" i="22"/>
  <c r="D404" i="22"/>
  <c r="E404" i="22"/>
  <c r="F404" i="22"/>
  <c r="G404" i="22"/>
  <c r="H404" i="22"/>
  <c r="I404" i="22"/>
  <c r="D405" i="22"/>
  <c r="E405" i="22"/>
  <c r="F405" i="22"/>
  <c r="G405" i="22"/>
  <c r="H405" i="22"/>
  <c r="I405" i="22"/>
  <c r="D406" i="22"/>
  <c r="E406" i="22"/>
  <c r="F406" i="22"/>
  <c r="G406" i="22"/>
  <c r="H406" i="22"/>
  <c r="I406" i="22"/>
  <c r="D407" i="22"/>
  <c r="E407" i="22"/>
  <c r="F407" i="22"/>
  <c r="G407" i="22"/>
  <c r="H407" i="22"/>
  <c r="I407" i="22"/>
  <c r="D408" i="22"/>
  <c r="E408" i="22"/>
  <c r="F408" i="22"/>
  <c r="G408" i="22"/>
  <c r="I408" i="22"/>
  <c r="D409" i="22"/>
  <c r="E409" i="22"/>
  <c r="F409" i="22"/>
  <c r="G409" i="22"/>
  <c r="H409" i="22"/>
  <c r="I409" i="22"/>
  <c r="D410" i="22"/>
  <c r="E410" i="22"/>
  <c r="F410" i="22"/>
  <c r="G410" i="22"/>
  <c r="H410" i="22"/>
  <c r="I410" i="22"/>
  <c r="D411" i="22"/>
  <c r="E411" i="22"/>
  <c r="F411" i="22"/>
  <c r="G411" i="22"/>
  <c r="H411" i="22"/>
  <c r="I411" i="22"/>
  <c r="D412" i="22"/>
  <c r="E412" i="22"/>
  <c r="F412" i="22"/>
  <c r="G412" i="22"/>
  <c r="I412" i="22"/>
  <c r="D413" i="22"/>
  <c r="F413" i="22"/>
  <c r="G413" i="22"/>
  <c r="H413" i="22"/>
  <c r="I413" i="22"/>
  <c r="D414" i="22"/>
  <c r="F414" i="22"/>
  <c r="G414" i="22"/>
  <c r="I414" i="22"/>
  <c r="D415" i="22"/>
  <c r="E415" i="22"/>
  <c r="F415" i="22"/>
  <c r="G415" i="22"/>
  <c r="H415" i="22"/>
  <c r="I415" i="22"/>
  <c r="D416" i="22"/>
  <c r="E416" i="22"/>
  <c r="F416" i="22"/>
  <c r="G416" i="22"/>
  <c r="H416" i="22"/>
  <c r="I416" i="22"/>
  <c r="D417" i="22"/>
  <c r="E417" i="22"/>
  <c r="F417" i="22"/>
  <c r="G417" i="22"/>
  <c r="H417" i="22"/>
  <c r="I417" i="22"/>
  <c r="D418" i="22"/>
  <c r="E418" i="22"/>
  <c r="F418" i="22"/>
  <c r="G418" i="22"/>
  <c r="H418" i="22"/>
  <c r="I418" i="22"/>
  <c r="D419" i="22"/>
  <c r="F419" i="22"/>
  <c r="G419" i="22"/>
  <c r="H419" i="22"/>
  <c r="I419" i="22"/>
  <c r="D420" i="22"/>
  <c r="E420" i="22"/>
  <c r="F420" i="22"/>
  <c r="G420" i="22"/>
  <c r="H420" i="22"/>
  <c r="I420" i="22"/>
  <c r="D421" i="22"/>
  <c r="E421" i="22"/>
  <c r="F421" i="22"/>
  <c r="G421" i="22"/>
  <c r="H421" i="22"/>
  <c r="I421" i="22"/>
  <c r="D422" i="22"/>
  <c r="E422" i="22"/>
  <c r="F422" i="22"/>
  <c r="G422" i="22"/>
  <c r="H422" i="22"/>
  <c r="I422" i="22"/>
  <c r="D423" i="22"/>
  <c r="E423" i="22"/>
  <c r="F423" i="22"/>
  <c r="G423" i="22"/>
  <c r="I423" i="22"/>
  <c r="D424" i="22"/>
  <c r="E424" i="22"/>
  <c r="F424" i="22"/>
  <c r="G424" i="22"/>
  <c r="H424" i="22"/>
  <c r="I424" i="22"/>
  <c r="D425" i="22"/>
  <c r="E425" i="22"/>
  <c r="F425" i="22"/>
  <c r="G425" i="22"/>
  <c r="H425" i="22"/>
  <c r="I425" i="22"/>
  <c r="D426" i="22"/>
  <c r="F426" i="22"/>
  <c r="G426" i="22"/>
  <c r="H426" i="22"/>
  <c r="I426" i="22"/>
  <c r="D427" i="22"/>
  <c r="E427" i="22"/>
  <c r="F427" i="22"/>
  <c r="G427" i="22"/>
  <c r="H427" i="22"/>
  <c r="I427" i="22"/>
  <c r="D428" i="22"/>
  <c r="E428" i="22"/>
  <c r="F428" i="22"/>
  <c r="G428" i="22"/>
  <c r="H428" i="22"/>
  <c r="I428" i="22"/>
  <c r="D429" i="22"/>
  <c r="E429" i="22"/>
  <c r="F429" i="22"/>
  <c r="G429" i="22"/>
  <c r="H429" i="22"/>
  <c r="I429" i="22"/>
  <c r="D430" i="22"/>
  <c r="F430" i="22"/>
  <c r="G430" i="22"/>
  <c r="I430" i="22"/>
  <c r="D431" i="22"/>
  <c r="E431" i="22"/>
  <c r="F431" i="22"/>
  <c r="G431" i="22"/>
  <c r="H431" i="22"/>
  <c r="I431" i="22"/>
  <c r="D432" i="22"/>
  <c r="E432" i="22"/>
  <c r="F432" i="22"/>
  <c r="G432" i="22"/>
  <c r="H432" i="22"/>
  <c r="I432" i="22"/>
  <c r="D433" i="22"/>
  <c r="E433" i="22"/>
  <c r="F433" i="22"/>
  <c r="G433" i="22"/>
  <c r="H433" i="22"/>
  <c r="I433" i="22"/>
  <c r="D434" i="22"/>
  <c r="E434" i="22"/>
  <c r="F434" i="22"/>
  <c r="G434" i="22"/>
  <c r="H434" i="22"/>
  <c r="I434" i="22"/>
  <c r="D435" i="22"/>
  <c r="F435" i="22"/>
  <c r="G435" i="22"/>
  <c r="I435" i="22"/>
  <c r="D436" i="22"/>
  <c r="E436" i="22"/>
  <c r="F436" i="22"/>
  <c r="G436" i="22"/>
  <c r="I436" i="22"/>
  <c r="D437" i="22"/>
  <c r="E437" i="22"/>
  <c r="F437" i="22"/>
  <c r="G437" i="22"/>
  <c r="H437" i="22"/>
  <c r="I437" i="22"/>
  <c r="D438" i="22"/>
  <c r="E438" i="22"/>
  <c r="F438" i="22"/>
  <c r="G438" i="22"/>
  <c r="H438" i="22"/>
  <c r="I438" i="22"/>
  <c r="D439" i="22"/>
  <c r="E439" i="22"/>
  <c r="F439" i="22"/>
  <c r="G439" i="22"/>
  <c r="H439" i="22"/>
  <c r="I439" i="22"/>
  <c r="D440" i="22"/>
  <c r="E440" i="22"/>
  <c r="F440" i="22"/>
  <c r="G440" i="22"/>
  <c r="H440" i="22"/>
  <c r="I440" i="22"/>
  <c r="D441" i="22"/>
  <c r="E441" i="22"/>
  <c r="F441" i="22"/>
  <c r="G441" i="22"/>
  <c r="H441" i="22"/>
  <c r="I441" i="22"/>
  <c r="D442" i="22"/>
  <c r="E442" i="22"/>
  <c r="F442" i="22"/>
  <c r="G442" i="22"/>
  <c r="H442" i="22"/>
  <c r="I442" i="22"/>
  <c r="D443" i="22"/>
  <c r="E443" i="22"/>
  <c r="F443" i="22"/>
  <c r="G443" i="22"/>
  <c r="H443" i="22"/>
  <c r="I443" i="22"/>
  <c r="D444" i="22"/>
  <c r="E444" i="22"/>
  <c r="F444" i="22"/>
  <c r="G444" i="22"/>
  <c r="H444" i="22"/>
  <c r="I444" i="22"/>
  <c r="D445" i="22"/>
  <c r="E445" i="22"/>
  <c r="F445" i="22"/>
  <c r="G445" i="22"/>
  <c r="H445" i="22"/>
  <c r="I445" i="22"/>
  <c r="D446" i="22"/>
  <c r="E446" i="22"/>
  <c r="F446" i="22"/>
  <c r="G446" i="22"/>
  <c r="H446" i="22"/>
  <c r="I446" i="22"/>
  <c r="D447" i="22"/>
  <c r="E447" i="22"/>
  <c r="F447" i="22"/>
  <c r="G447" i="22"/>
  <c r="H447" i="22"/>
  <c r="I447" i="22"/>
  <c r="D448" i="22"/>
  <c r="E448" i="22"/>
  <c r="F448" i="22"/>
  <c r="G448" i="22"/>
  <c r="H448" i="22"/>
  <c r="I448" i="22"/>
  <c r="D449" i="22"/>
  <c r="E449" i="22"/>
  <c r="F449" i="22"/>
  <c r="G449" i="22"/>
  <c r="H449" i="22"/>
  <c r="I449" i="22"/>
  <c r="D450" i="22"/>
  <c r="E450" i="22"/>
  <c r="G450" i="22"/>
  <c r="H450" i="22"/>
  <c r="I450" i="22"/>
  <c r="D451" i="22"/>
  <c r="E451" i="22"/>
  <c r="F451" i="22"/>
  <c r="G451" i="22"/>
  <c r="H451" i="22"/>
  <c r="I451" i="22"/>
  <c r="D452" i="22"/>
  <c r="E452" i="22"/>
  <c r="F452" i="22"/>
  <c r="G452" i="22"/>
  <c r="H452" i="22"/>
  <c r="I452" i="22"/>
  <c r="D453" i="22"/>
  <c r="E453" i="22"/>
  <c r="F453" i="22"/>
  <c r="G453" i="22"/>
  <c r="H453" i="22"/>
  <c r="I453" i="22"/>
  <c r="D454" i="22"/>
  <c r="E454" i="22"/>
  <c r="F454" i="22"/>
  <c r="G454" i="22"/>
  <c r="H454" i="22"/>
  <c r="I454" i="22"/>
  <c r="D455" i="22"/>
  <c r="E455" i="22"/>
  <c r="F455" i="22"/>
  <c r="G455" i="22"/>
  <c r="H455" i="22"/>
  <c r="I455" i="22"/>
  <c r="D456" i="22"/>
  <c r="E456" i="22"/>
  <c r="F456" i="22"/>
  <c r="G456" i="22"/>
  <c r="H456" i="22"/>
  <c r="I456" i="22"/>
  <c r="D457" i="22"/>
  <c r="E457" i="22"/>
  <c r="F457" i="22"/>
  <c r="G457" i="22"/>
  <c r="H457" i="22"/>
  <c r="I457" i="22"/>
  <c r="D458" i="22"/>
  <c r="E458" i="22"/>
  <c r="F458" i="22"/>
  <c r="G458" i="22"/>
  <c r="H458" i="22"/>
  <c r="I458" i="22"/>
  <c r="D459" i="22"/>
  <c r="E459" i="22"/>
  <c r="F459" i="22"/>
  <c r="G459" i="22"/>
  <c r="H459" i="22"/>
  <c r="I459" i="22"/>
  <c r="D460" i="22"/>
  <c r="E460" i="22"/>
  <c r="F460" i="22"/>
  <c r="G460" i="22"/>
  <c r="H460" i="22"/>
  <c r="I460" i="22"/>
  <c r="D461" i="22"/>
  <c r="E461" i="22"/>
  <c r="F461" i="22"/>
  <c r="G461" i="22"/>
  <c r="H461" i="22"/>
  <c r="I461" i="22"/>
  <c r="D462" i="22"/>
  <c r="E462" i="22"/>
  <c r="F462" i="22"/>
  <c r="G462" i="22"/>
  <c r="H462" i="22"/>
  <c r="I462" i="22"/>
  <c r="D463" i="22"/>
  <c r="E463" i="22"/>
  <c r="F463" i="22"/>
  <c r="G463" i="22"/>
  <c r="I463" i="22"/>
  <c r="D464" i="22"/>
  <c r="E464" i="22"/>
  <c r="F464" i="22"/>
  <c r="G464" i="22"/>
  <c r="H464" i="22"/>
  <c r="I464" i="22"/>
  <c r="D465" i="22"/>
  <c r="E465" i="22"/>
  <c r="F465" i="22"/>
  <c r="G465" i="22"/>
  <c r="H465" i="22"/>
  <c r="I465" i="22"/>
  <c r="D466" i="22"/>
  <c r="E466" i="22"/>
  <c r="F466" i="22"/>
  <c r="G466" i="22"/>
  <c r="H466" i="22"/>
  <c r="I466" i="22"/>
  <c r="D467" i="22"/>
  <c r="E467" i="22"/>
  <c r="F467" i="22"/>
  <c r="G467" i="22"/>
  <c r="H467" i="22"/>
  <c r="I467" i="22"/>
  <c r="D468" i="22"/>
  <c r="E468" i="22"/>
  <c r="F468" i="22"/>
  <c r="G468" i="22"/>
  <c r="H468" i="22"/>
  <c r="I468" i="22"/>
  <c r="D469" i="22"/>
  <c r="E469" i="22"/>
  <c r="F469" i="22"/>
  <c r="G469" i="22"/>
  <c r="H469" i="22"/>
  <c r="I469" i="22"/>
  <c r="D470" i="22"/>
  <c r="E470" i="22"/>
  <c r="F470" i="22"/>
  <c r="G470" i="22"/>
  <c r="H470" i="22"/>
  <c r="I470" i="22"/>
  <c r="D475" i="22"/>
  <c r="E475" i="22"/>
  <c r="F475" i="22"/>
  <c r="G475" i="22"/>
  <c r="H475" i="22"/>
  <c r="I475" i="22"/>
  <c r="D476" i="22"/>
  <c r="E476" i="22"/>
  <c r="F476" i="22"/>
  <c r="G476" i="22"/>
  <c r="H476" i="22"/>
  <c r="I476" i="22"/>
  <c r="D477" i="22"/>
  <c r="E477" i="22"/>
  <c r="F477" i="22"/>
  <c r="G477" i="22"/>
  <c r="H477" i="22"/>
  <c r="I477" i="22"/>
  <c r="D478" i="22"/>
  <c r="E478" i="22"/>
  <c r="F478" i="22"/>
  <c r="G478" i="22"/>
  <c r="H478" i="22"/>
  <c r="I478" i="22"/>
  <c r="D479" i="22"/>
  <c r="E479" i="22"/>
  <c r="F479" i="22"/>
  <c r="G479" i="22"/>
  <c r="H479" i="22"/>
  <c r="I479" i="22"/>
  <c r="D481" i="22"/>
  <c r="E481" i="22"/>
  <c r="F481" i="22"/>
  <c r="G481" i="22"/>
  <c r="H481" i="22"/>
  <c r="I481" i="22"/>
  <c r="D482" i="22"/>
  <c r="E482" i="22"/>
  <c r="F482" i="22"/>
  <c r="G482" i="22"/>
  <c r="H482" i="22"/>
  <c r="I482" i="22"/>
  <c r="D484" i="22"/>
  <c r="E484" i="22"/>
  <c r="F484" i="22"/>
  <c r="G484" i="22"/>
  <c r="H484" i="22"/>
  <c r="I484" i="22"/>
  <c r="D485" i="22"/>
  <c r="E485" i="22"/>
  <c r="F485" i="22"/>
  <c r="G485" i="22"/>
  <c r="H485" i="22"/>
  <c r="I485" i="22"/>
  <c r="D487" i="22"/>
  <c r="E487" i="22"/>
  <c r="F487" i="22"/>
  <c r="G487" i="22"/>
  <c r="H487" i="22"/>
  <c r="I487" i="22"/>
  <c r="D488" i="22"/>
  <c r="E488" i="22"/>
  <c r="F488" i="22"/>
  <c r="G488" i="22"/>
  <c r="H488" i="22"/>
  <c r="I488" i="22"/>
  <c r="D489" i="22"/>
  <c r="E489" i="22"/>
  <c r="F489" i="22"/>
  <c r="G489" i="22"/>
  <c r="H489" i="22"/>
  <c r="I489" i="22"/>
  <c r="D490" i="22"/>
  <c r="E490" i="22"/>
  <c r="F490" i="22"/>
  <c r="G490" i="22"/>
  <c r="H490" i="22"/>
  <c r="I490" i="22"/>
  <c r="D491" i="22"/>
  <c r="E491" i="22"/>
  <c r="F491" i="22"/>
  <c r="G491" i="22"/>
  <c r="H491" i="22"/>
  <c r="I491" i="22"/>
  <c r="D492" i="22"/>
  <c r="E492" i="22"/>
  <c r="F492" i="22"/>
  <c r="G492" i="22"/>
  <c r="H492" i="22"/>
  <c r="I492" i="22"/>
  <c r="D495" i="22"/>
  <c r="E495" i="22"/>
  <c r="F495" i="22"/>
  <c r="G495" i="22"/>
  <c r="H495" i="22"/>
  <c r="D496" i="22"/>
  <c r="E496" i="22"/>
  <c r="F496" i="22"/>
  <c r="G496" i="22"/>
  <c r="H496" i="22"/>
  <c r="K266" i="4"/>
  <c r="L266" i="4" s="1"/>
  <c r="K265" i="4"/>
  <c r="L265" i="4" s="1"/>
  <c r="L271" i="4"/>
  <c r="H270" i="4"/>
  <c r="E270" i="4"/>
  <c r="D270" i="4"/>
  <c r="H270" i="15"/>
  <c r="E270" i="15"/>
  <c r="D270" i="15"/>
  <c r="K265" i="15"/>
  <c r="L265" i="15" s="1"/>
  <c r="K266" i="15"/>
  <c r="L266" i="15" s="1"/>
  <c r="I497" i="4"/>
  <c r="I194" i="4"/>
  <c r="I102" i="4"/>
  <c r="I29" i="4"/>
  <c r="I14" i="4"/>
  <c r="K8" i="4"/>
  <c r="L8" i="4" s="1"/>
  <c r="K9" i="4"/>
  <c r="L9" i="4" s="1"/>
  <c r="K10" i="4"/>
  <c r="L10" i="4" s="1"/>
  <c r="K11" i="4"/>
  <c r="L11" i="4" s="1"/>
  <c r="K12" i="4"/>
  <c r="L12" i="4" s="1"/>
  <c r="K13" i="4"/>
  <c r="L13" i="4" s="1"/>
  <c r="K39" i="4"/>
  <c r="L39" i="4" s="1"/>
  <c r="K40" i="4"/>
  <c r="L40" i="4" s="1"/>
  <c r="K41" i="4"/>
  <c r="L41" i="4" s="1"/>
  <c r="K42" i="4"/>
  <c r="L42" i="4" s="1"/>
  <c r="K43" i="4"/>
  <c r="L43" i="4" s="1"/>
  <c r="K97" i="4"/>
  <c r="L97" i="4" s="1"/>
  <c r="K98" i="4"/>
  <c r="L98" i="4" s="1"/>
  <c r="K99" i="4"/>
  <c r="L99" i="4" s="1"/>
  <c r="K100" i="4"/>
  <c r="L100" i="4" s="1"/>
  <c r="K101" i="4"/>
  <c r="L101" i="4" s="1"/>
  <c r="K123" i="4"/>
  <c r="L123" i="4" s="1"/>
  <c r="K124" i="4"/>
  <c r="L124" i="4" s="1"/>
  <c r="K125" i="4"/>
  <c r="L125" i="4" s="1"/>
  <c r="K126" i="4"/>
  <c r="L126" i="4" s="1"/>
  <c r="K130" i="4"/>
  <c r="L130" i="4" s="1"/>
  <c r="K131" i="4"/>
  <c r="L131" i="4" s="1"/>
  <c r="K132" i="4"/>
  <c r="L132" i="4" s="1"/>
  <c r="K146" i="4"/>
  <c r="L146" i="4" s="1"/>
  <c r="K192" i="4"/>
  <c r="L192" i="4" s="1"/>
  <c r="K193" i="4"/>
  <c r="L193" i="4" s="1"/>
  <c r="K391" i="4"/>
  <c r="L391" i="4" s="1"/>
  <c r="K422" i="4"/>
  <c r="L422" i="4" s="1"/>
  <c r="J475" i="4"/>
  <c r="J476" i="4"/>
  <c r="J477" i="4"/>
  <c r="J478" i="4"/>
  <c r="J479" i="4"/>
  <c r="J481" i="4"/>
  <c r="J482" i="4"/>
  <c r="J484" i="4"/>
  <c r="J485" i="4"/>
  <c r="J487" i="4"/>
  <c r="J488" i="4"/>
  <c r="J489" i="4"/>
  <c r="J490" i="4"/>
  <c r="J491" i="4"/>
  <c r="J492" i="4"/>
  <c r="I5" i="4"/>
  <c r="K7" i="4"/>
  <c r="L7" i="4" s="1"/>
  <c r="K6" i="4"/>
  <c r="L6" i="4" s="1"/>
  <c r="I172" i="15"/>
  <c r="I151" i="15"/>
  <c r="I147" i="15"/>
  <c r="I143" i="15"/>
  <c r="I136" i="15"/>
  <c r="I133" i="15"/>
  <c r="I65" i="15"/>
  <c r="I59" i="15"/>
  <c r="I52" i="15"/>
  <c r="I47" i="15"/>
  <c r="I44" i="15"/>
  <c r="I29" i="15"/>
  <c r="F14" i="15"/>
  <c r="D29" i="15"/>
  <c r="E29" i="15"/>
  <c r="F29" i="15"/>
  <c r="G29" i="15"/>
  <c r="H29" i="15"/>
  <c r="D32" i="15"/>
  <c r="E32" i="15"/>
  <c r="F32" i="15"/>
  <c r="G32" i="15"/>
  <c r="K192" i="15"/>
  <c r="L192" i="15" s="1"/>
  <c r="K193" i="15"/>
  <c r="L193" i="15" s="1"/>
  <c r="K391" i="15"/>
  <c r="L391" i="15" s="1"/>
  <c r="K39" i="15"/>
  <c r="L39" i="15" s="1"/>
  <c r="K40" i="15"/>
  <c r="L40" i="15" s="1"/>
  <c r="K41" i="15"/>
  <c r="L41" i="15" s="1"/>
  <c r="K42" i="15"/>
  <c r="L42" i="15" s="1"/>
  <c r="K43" i="15"/>
  <c r="L43" i="15" s="1"/>
  <c r="K97" i="15"/>
  <c r="L97" i="15" s="1"/>
  <c r="K98" i="15"/>
  <c r="L98" i="15" s="1"/>
  <c r="K99" i="15"/>
  <c r="L99" i="15" s="1"/>
  <c r="K100" i="15"/>
  <c r="L100" i="15" s="1"/>
  <c r="K101" i="15"/>
  <c r="L101" i="15" s="1"/>
  <c r="K123" i="15"/>
  <c r="L123" i="15" s="1"/>
  <c r="K124" i="15"/>
  <c r="L124" i="15" s="1"/>
  <c r="K125" i="15"/>
  <c r="L125" i="15" s="1"/>
  <c r="K126" i="15"/>
  <c r="L126" i="15" s="1"/>
  <c r="K130" i="15"/>
  <c r="L130" i="15" s="1"/>
  <c r="K131" i="15"/>
  <c r="L131" i="15" s="1"/>
  <c r="K132" i="15"/>
  <c r="L132" i="15" s="1"/>
  <c r="K146" i="15"/>
  <c r="L146" i="15" s="1"/>
  <c r="K343" i="17"/>
  <c r="L343" i="17" s="1"/>
  <c r="K344" i="17"/>
  <c r="L344" i="17" s="1"/>
  <c r="K346" i="17"/>
  <c r="L346" i="17" s="1"/>
  <c r="K347" i="17"/>
  <c r="L347" i="17" s="1"/>
  <c r="K348" i="17"/>
  <c r="L348" i="17" s="1"/>
  <c r="K349" i="17"/>
  <c r="L349" i="17" s="1"/>
  <c r="K350" i="17"/>
  <c r="L350" i="17" s="1"/>
  <c r="K351" i="17"/>
  <c r="L351" i="17" s="1"/>
  <c r="K352" i="17"/>
  <c r="L352" i="17" s="1"/>
  <c r="K353" i="17"/>
  <c r="L353" i="17" s="1"/>
  <c r="K354" i="17"/>
  <c r="L354" i="17" s="1"/>
  <c r="K355" i="17"/>
  <c r="L355" i="17" s="1"/>
  <c r="K356" i="17"/>
  <c r="L356" i="17" s="1"/>
  <c r="K357" i="17"/>
  <c r="L357" i="17" s="1"/>
  <c r="K358" i="17"/>
  <c r="L358" i="17" s="1"/>
  <c r="K359" i="17"/>
  <c r="L359" i="17" s="1"/>
  <c r="K360" i="17"/>
  <c r="L360" i="17" s="1"/>
  <c r="K361" i="17"/>
  <c r="L361" i="17" s="1"/>
  <c r="K362" i="17"/>
  <c r="L362" i="17" s="1"/>
  <c r="K364" i="17"/>
  <c r="L364" i="17" s="1"/>
  <c r="K365" i="17"/>
  <c r="L365" i="17" s="1"/>
  <c r="K366" i="17"/>
  <c r="L366" i="17" s="1"/>
  <c r="K367" i="17"/>
  <c r="L367" i="17" s="1"/>
  <c r="K368" i="17"/>
  <c r="L368" i="17" s="1"/>
  <c r="K369" i="17"/>
  <c r="L369" i="17" s="1"/>
  <c r="K370" i="17"/>
  <c r="L370" i="17" s="1"/>
  <c r="K371" i="17"/>
  <c r="L371" i="17" s="1"/>
  <c r="K372" i="17"/>
  <c r="L372" i="17" s="1"/>
  <c r="K373" i="17"/>
  <c r="L373" i="17" s="1"/>
  <c r="K374" i="17"/>
  <c r="L374" i="17" s="1"/>
  <c r="K375" i="17"/>
  <c r="L375" i="17" s="1"/>
  <c r="K376" i="17"/>
  <c r="L376" i="17" s="1"/>
  <c r="K377" i="17"/>
  <c r="L377" i="17" s="1"/>
  <c r="K378" i="17"/>
  <c r="L378" i="17" s="1"/>
  <c r="K379" i="17"/>
  <c r="L379" i="17" s="1"/>
  <c r="K380" i="17"/>
  <c r="L380" i="17" s="1"/>
  <c r="K381" i="17"/>
  <c r="L381" i="17" s="1"/>
  <c r="K382" i="17"/>
  <c r="L382" i="17" s="1"/>
  <c r="K383" i="17"/>
  <c r="L383" i="17" s="1"/>
  <c r="K384" i="17"/>
  <c r="L384" i="17" s="1"/>
  <c r="K385" i="17"/>
  <c r="L385" i="17" s="1"/>
  <c r="K387" i="17"/>
  <c r="L387" i="17" s="1"/>
  <c r="K388" i="17"/>
  <c r="L388" i="17" s="1"/>
  <c r="K389" i="17"/>
  <c r="L389" i="17" s="1"/>
  <c r="K390" i="17"/>
  <c r="L390" i="17" s="1"/>
  <c r="K391" i="17"/>
  <c r="L391" i="17" s="1"/>
  <c r="K393" i="17"/>
  <c r="L393" i="17" s="1"/>
  <c r="K394" i="17"/>
  <c r="L394" i="17" s="1"/>
  <c r="K395" i="17"/>
  <c r="L395" i="17" s="1"/>
  <c r="K396" i="17"/>
  <c r="L396" i="17" s="1"/>
  <c r="K397" i="17"/>
  <c r="L397" i="17" s="1"/>
  <c r="K398" i="17"/>
  <c r="L398" i="17" s="1"/>
  <c r="K399" i="17"/>
  <c r="L399" i="17" s="1"/>
  <c r="K400" i="17"/>
  <c r="L400" i="17" s="1"/>
  <c r="K401" i="17"/>
  <c r="L401" i="17" s="1"/>
  <c r="K402" i="17"/>
  <c r="L402" i="17" s="1"/>
  <c r="K403" i="17"/>
  <c r="L403" i="17" s="1"/>
  <c r="K404" i="17"/>
  <c r="L404" i="17" s="1"/>
  <c r="K405" i="17"/>
  <c r="L405" i="17" s="1"/>
  <c r="K406" i="17"/>
  <c r="L406" i="17" s="1"/>
  <c r="K407" i="17"/>
  <c r="L407" i="17" s="1"/>
  <c r="K409" i="17"/>
  <c r="L409" i="17" s="1"/>
  <c r="K410" i="17"/>
  <c r="L410" i="17" s="1"/>
  <c r="K411" i="17"/>
  <c r="L411" i="17" s="1"/>
  <c r="K412" i="17"/>
  <c r="L412" i="17" s="1"/>
  <c r="K413" i="17"/>
  <c r="L413" i="17" s="1"/>
  <c r="K415" i="17"/>
  <c r="L415" i="17" s="1"/>
  <c r="K416" i="17"/>
  <c r="L416" i="17" s="1"/>
  <c r="K417" i="17"/>
  <c r="L417" i="17" s="1"/>
  <c r="K418" i="17"/>
  <c r="L418" i="17" s="1"/>
  <c r="K419" i="17"/>
  <c r="L419" i="17" s="1"/>
  <c r="K420" i="17"/>
  <c r="L420" i="17" s="1"/>
  <c r="K421" i="17"/>
  <c r="L421" i="17" s="1"/>
  <c r="K422" i="17"/>
  <c r="L422" i="17" s="1"/>
  <c r="K424" i="17"/>
  <c r="L424" i="17" s="1"/>
  <c r="K425" i="17"/>
  <c r="L425" i="17" s="1"/>
  <c r="K426" i="17"/>
  <c r="L426" i="17" s="1"/>
  <c r="K427" i="17"/>
  <c r="L427" i="17" s="1"/>
  <c r="K428" i="17"/>
  <c r="L428" i="17" s="1"/>
  <c r="K429" i="17"/>
  <c r="L429" i="17" s="1"/>
  <c r="K430" i="17"/>
  <c r="L430" i="17" s="1"/>
  <c r="K431" i="17"/>
  <c r="L431" i="17" s="1"/>
  <c r="K432" i="17"/>
  <c r="L432" i="17" s="1"/>
  <c r="K433" i="17"/>
  <c r="L433" i="17" s="1"/>
  <c r="K434" i="17"/>
  <c r="L434" i="17" s="1"/>
  <c r="K436" i="17"/>
  <c r="L436" i="17" s="1"/>
  <c r="K437" i="17"/>
  <c r="L437" i="17" s="1"/>
  <c r="K438" i="17"/>
  <c r="L438" i="17" s="1"/>
  <c r="K439" i="17"/>
  <c r="L439" i="17" s="1"/>
  <c r="K440" i="17"/>
  <c r="L440" i="17" s="1"/>
  <c r="K441" i="17"/>
  <c r="L441" i="17" s="1"/>
  <c r="K442" i="17"/>
  <c r="L442" i="17" s="1"/>
  <c r="K443" i="17"/>
  <c r="L443" i="17" s="1"/>
  <c r="K444" i="17"/>
  <c r="L444" i="17" s="1"/>
  <c r="K445" i="17"/>
  <c r="L445" i="17" s="1"/>
  <c r="K446" i="17"/>
  <c r="L446" i="17" s="1"/>
  <c r="K447" i="17"/>
  <c r="L447" i="17" s="1"/>
  <c r="K448" i="17"/>
  <c r="L448" i="17" s="1"/>
  <c r="K449" i="17"/>
  <c r="L449" i="17" s="1"/>
  <c r="K450" i="17"/>
  <c r="K451" i="17"/>
  <c r="L451" i="17" s="1"/>
  <c r="K452" i="17"/>
  <c r="L452" i="17" s="1"/>
  <c r="K453" i="17"/>
  <c r="L453" i="17" s="1"/>
  <c r="K454" i="17"/>
  <c r="L454" i="17" s="1"/>
  <c r="K455" i="17"/>
  <c r="L455" i="17" s="1"/>
  <c r="K456" i="17"/>
  <c r="L456" i="17" s="1"/>
  <c r="K457" i="17"/>
  <c r="L457" i="17" s="1"/>
  <c r="K458" i="17"/>
  <c r="L458" i="17" s="1"/>
  <c r="K459" i="17"/>
  <c r="L459" i="17" s="1"/>
  <c r="K460" i="17"/>
  <c r="L460" i="17" s="1"/>
  <c r="K461" i="17"/>
  <c r="L461" i="17" s="1"/>
  <c r="K462" i="17"/>
  <c r="L462" i="17" s="1"/>
  <c r="K463" i="17"/>
  <c r="L463" i="17" s="1"/>
  <c r="K464" i="17"/>
  <c r="L464" i="17" s="1"/>
  <c r="K465" i="17"/>
  <c r="L465" i="17" s="1"/>
  <c r="K466" i="17"/>
  <c r="L466" i="17" s="1"/>
  <c r="K467" i="17"/>
  <c r="L467" i="17" s="1"/>
  <c r="K468" i="17"/>
  <c r="L468" i="17" s="1"/>
  <c r="K469" i="17"/>
  <c r="L469" i="17" s="1"/>
  <c r="K470" i="17"/>
  <c r="L470" i="17" s="1"/>
  <c r="K475" i="17"/>
  <c r="L475" i="17" s="1"/>
  <c r="K476" i="17"/>
  <c r="L476" i="17" s="1"/>
  <c r="K477" i="17"/>
  <c r="L477" i="17" s="1"/>
  <c r="K478" i="17"/>
  <c r="L478" i="17" s="1"/>
  <c r="K479" i="17"/>
  <c r="L479" i="17" s="1"/>
  <c r="K481" i="17"/>
  <c r="L481" i="17" s="1"/>
  <c r="K482" i="17"/>
  <c r="L482" i="17" s="1"/>
  <c r="K484" i="17"/>
  <c r="L484" i="17" s="1"/>
  <c r="K485" i="17"/>
  <c r="L485" i="17" s="1"/>
  <c r="K487" i="17"/>
  <c r="L487" i="17" s="1"/>
  <c r="K488" i="17"/>
  <c r="L488" i="17" s="1"/>
  <c r="K489" i="17"/>
  <c r="L489" i="17" s="1"/>
  <c r="K490" i="17"/>
  <c r="L490" i="17" s="1"/>
  <c r="K491" i="17"/>
  <c r="L491" i="17" s="1"/>
  <c r="K492" i="17"/>
  <c r="L492" i="17" s="1"/>
  <c r="K342" i="17"/>
  <c r="L342" i="17" s="1"/>
  <c r="K280" i="17"/>
  <c r="L280" i="17" s="1"/>
  <c r="K281" i="17"/>
  <c r="L281" i="17" s="1"/>
  <c r="K282" i="17"/>
  <c r="L282" i="17" s="1"/>
  <c r="K283" i="17"/>
  <c r="L283" i="17" s="1"/>
  <c r="K284" i="17"/>
  <c r="L284" i="17" s="1"/>
  <c r="K285" i="17"/>
  <c r="L285" i="17" s="1"/>
  <c r="K286" i="17"/>
  <c r="L286" i="17" s="1"/>
  <c r="K287" i="17"/>
  <c r="L287" i="17" s="1"/>
  <c r="K288" i="17"/>
  <c r="L288" i="17" s="1"/>
  <c r="K289" i="17"/>
  <c r="L289" i="17" s="1"/>
  <c r="K290" i="17"/>
  <c r="L290" i="17" s="1"/>
  <c r="K291" i="17"/>
  <c r="L291" i="17" s="1"/>
  <c r="K294" i="17"/>
  <c r="L294" i="17" s="1"/>
  <c r="K295" i="17"/>
  <c r="L295" i="17" s="1"/>
  <c r="K296" i="17"/>
  <c r="L296" i="17" s="1"/>
  <c r="K297" i="17"/>
  <c r="L297" i="17" s="1"/>
  <c r="K298" i="17"/>
  <c r="L298" i="17" s="1"/>
  <c r="K299" i="17"/>
  <c r="L299" i="17" s="1"/>
  <c r="K300" i="17"/>
  <c r="L300" i="17" s="1"/>
  <c r="K301" i="17"/>
  <c r="L301" i="17" s="1"/>
  <c r="K302" i="17"/>
  <c r="L302" i="17" s="1"/>
  <c r="K303" i="17"/>
  <c r="L303" i="17" s="1"/>
  <c r="K305" i="17"/>
  <c r="L305" i="17" s="1"/>
  <c r="K306" i="17"/>
  <c r="L306" i="17" s="1"/>
  <c r="K307" i="17"/>
  <c r="L307" i="17" s="1"/>
  <c r="K308" i="17"/>
  <c r="L308" i="17" s="1"/>
  <c r="K309" i="17"/>
  <c r="L309" i="17" s="1"/>
  <c r="K310" i="17"/>
  <c r="L310" i="17" s="1"/>
  <c r="K311" i="17"/>
  <c r="L311" i="17" s="1"/>
  <c r="K312" i="17"/>
  <c r="L312" i="17" s="1"/>
  <c r="K313" i="17"/>
  <c r="L313" i="17" s="1"/>
  <c r="K314" i="17"/>
  <c r="L314" i="17" s="1"/>
  <c r="K315" i="17"/>
  <c r="L315" i="17" s="1"/>
  <c r="K316" i="17"/>
  <c r="L316" i="17" s="1"/>
  <c r="K317" i="17"/>
  <c r="L317" i="17" s="1"/>
  <c r="K318" i="17"/>
  <c r="L318" i="17" s="1"/>
  <c r="K319" i="17"/>
  <c r="L319" i="17" s="1"/>
  <c r="K320" i="17"/>
  <c r="L320" i="17" s="1"/>
  <c r="K321" i="17"/>
  <c r="L321" i="17" s="1"/>
  <c r="K322" i="17"/>
  <c r="L322" i="17" s="1"/>
  <c r="K323" i="17"/>
  <c r="L323" i="17" s="1"/>
  <c r="K324" i="17"/>
  <c r="L324" i="17" s="1"/>
  <c r="K325" i="17"/>
  <c r="L325" i="17" s="1"/>
  <c r="K326" i="17"/>
  <c r="L326" i="17" s="1"/>
  <c r="K327" i="17"/>
  <c r="L327" i="17" s="1"/>
  <c r="K328" i="17"/>
  <c r="L328" i="17" s="1"/>
  <c r="K329" i="17"/>
  <c r="L329" i="17" s="1"/>
  <c r="K330" i="17"/>
  <c r="L330" i="17" s="1"/>
  <c r="K331" i="17"/>
  <c r="L331" i="17" s="1"/>
  <c r="K332" i="17"/>
  <c r="L332" i="17" s="1"/>
  <c r="K333" i="17"/>
  <c r="L333" i="17" s="1"/>
  <c r="K334" i="17"/>
  <c r="L334" i="17" s="1"/>
  <c r="K335" i="17"/>
  <c r="L335" i="17" s="1"/>
  <c r="K336" i="17"/>
  <c r="L336" i="17" s="1"/>
  <c r="K337" i="17"/>
  <c r="L337" i="17" s="1"/>
  <c r="K272" i="17"/>
  <c r="L272" i="17" s="1"/>
  <c r="K274" i="17"/>
  <c r="L274" i="17" s="1"/>
  <c r="K275" i="17"/>
  <c r="L275" i="17" s="1"/>
  <c r="K276" i="17"/>
  <c r="L276" i="17" s="1"/>
  <c r="K277" i="17"/>
  <c r="L277" i="17" s="1"/>
  <c r="K278" i="17"/>
  <c r="L278" i="17" s="1"/>
  <c r="K279" i="17"/>
  <c r="L279" i="17" s="1"/>
  <c r="K273" i="17"/>
  <c r="L273" i="17" s="1"/>
  <c r="K192" i="17"/>
  <c r="L192" i="17" s="1"/>
  <c r="K193" i="17"/>
  <c r="L193" i="17" s="1"/>
  <c r="K195" i="17"/>
  <c r="L195" i="17" s="1"/>
  <c r="K196" i="17"/>
  <c r="L196" i="17" s="1"/>
  <c r="K197" i="17"/>
  <c r="L197" i="17" s="1"/>
  <c r="K198" i="17"/>
  <c r="L198" i="17" s="1"/>
  <c r="K199" i="17"/>
  <c r="L199" i="17" s="1"/>
  <c r="K200" i="17"/>
  <c r="L200" i="17" s="1"/>
  <c r="K201" i="17"/>
  <c r="L201" i="17" s="1"/>
  <c r="K202" i="17"/>
  <c r="L202" i="17" s="1"/>
  <c r="K203" i="17"/>
  <c r="L203" i="17" s="1"/>
  <c r="K204" i="17"/>
  <c r="L204" i="17" s="1"/>
  <c r="K205" i="17"/>
  <c r="L205" i="17" s="1"/>
  <c r="K206" i="17"/>
  <c r="L206" i="17" s="1"/>
  <c r="K207" i="17"/>
  <c r="L207" i="17" s="1"/>
  <c r="K208" i="17"/>
  <c r="L208" i="17" s="1"/>
  <c r="K209" i="17"/>
  <c r="L209" i="17" s="1"/>
  <c r="K210" i="17"/>
  <c r="L210" i="17" s="1"/>
  <c r="K211" i="17"/>
  <c r="L211" i="17" s="1"/>
  <c r="K212" i="17"/>
  <c r="L212" i="17" s="1"/>
  <c r="K213" i="17"/>
  <c r="L213" i="17" s="1"/>
  <c r="K214" i="17"/>
  <c r="L214" i="17" s="1"/>
  <c r="K215" i="17"/>
  <c r="L215" i="17" s="1"/>
  <c r="K216" i="17"/>
  <c r="L216" i="17" s="1"/>
  <c r="K217" i="17"/>
  <c r="L217" i="17" s="1"/>
  <c r="K218" i="17"/>
  <c r="L218" i="17" s="1"/>
  <c r="K219" i="17"/>
  <c r="L219" i="17" s="1"/>
  <c r="K220" i="17"/>
  <c r="L220" i="17" s="1"/>
  <c r="K221" i="17"/>
  <c r="L221" i="17" s="1"/>
  <c r="K222" i="17"/>
  <c r="L222" i="17" s="1"/>
  <c r="K223" i="17"/>
  <c r="L223" i="17" s="1"/>
  <c r="K224" i="17"/>
  <c r="L224" i="17" s="1"/>
  <c r="K225" i="17"/>
  <c r="L225" i="17" s="1"/>
  <c r="K226" i="17"/>
  <c r="L226" i="17" s="1"/>
  <c r="K227" i="17"/>
  <c r="L227" i="17" s="1"/>
  <c r="K228" i="17"/>
  <c r="L228" i="17" s="1"/>
  <c r="K229" i="17"/>
  <c r="L229" i="17" s="1"/>
  <c r="K230" i="17"/>
  <c r="L230" i="17" s="1"/>
  <c r="K231" i="17"/>
  <c r="L231" i="17" s="1"/>
  <c r="K232" i="17"/>
  <c r="L232" i="17" s="1"/>
  <c r="K233" i="17"/>
  <c r="L233" i="17" s="1"/>
  <c r="K234" i="17"/>
  <c r="L234" i="17" s="1"/>
  <c r="K235" i="17"/>
  <c r="L235" i="17" s="1"/>
  <c r="K236" i="17"/>
  <c r="L236" i="17" s="1"/>
  <c r="K237" i="17"/>
  <c r="L237" i="17" s="1"/>
  <c r="K238" i="17"/>
  <c r="L238" i="17" s="1"/>
  <c r="K239" i="17"/>
  <c r="L239" i="17" s="1"/>
  <c r="K240" i="17"/>
  <c r="L240" i="17" s="1"/>
  <c r="K241" i="17"/>
  <c r="L241" i="17" s="1"/>
  <c r="K242" i="17"/>
  <c r="L242" i="17" s="1"/>
  <c r="K243" i="17"/>
  <c r="L243" i="17" s="1"/>
  <c r="K244" i="17"/>
  <c r="L244" i="17" s="1"/>
  <c r="K245" i="17"/>
  <c r="L245" i="17" s="1"/>
  <c r="K246" i="17"/>
  <c r="L246" i="17" s="1"/>
  <c r="K247" i="17"/>
  <c r="L247" i="17" s="1"/>
  <c r="K248" i="17"/>
  <c r="L248" i="17" s="1"/>
  <c r="K249" i="17"/>
  <c r="L249" i="17" s="1"/>
  <c r="K250" i="17"/>
  <c r="L250" i="17" s="1"/>
  <c r="K251" i="17"/>
  <c r="L251" i="17" s="1"/>
  <c r="K252" i="17"/>
  <c r="L252" i="17" s="1"/>
  <c r="K253" i="17"/>
  <c r="L253" i="17" s="1"/>
  <c r="K255" i="17"/>
  <c r="L255" i="17" s="1"/>
  <c r="K258" i="17"/>
  <c r="L258" i="17" s="1"/>
  <c r="K259" i="17"/>
  <c r="L259" i="17" s="1"/>
  <c r="K260" i="17"/>
  <c r="L260" i="17" s="1"/>
  <c r="K261" i="17"/>
  <c r="L261" i="17" s="1"/>
  <c r="K262" i="17"/>
  <c r="L262" i="17" s="1"/>
  <c r="K263" i="17"/>
  <c r="L263" i="17" s="1"/>
  <c r="K6" i="17"/>
  <c r="L6" i="17" s="1"/>
  <c r="K7" i="17"/>
  <c r="L7" i="17" s="1"/>
  <c r="K8" i="17"/>
  <c r="L8" i="17" s="1"/>
  <c r="K9" i="17"/>
  <c r="L9" i="17" s="1"/>
  <c r="K10" i="17"/>
  <c r="L10" i="17" s="1"/>
  <c r="K11" i="17"/>
  <c r="L11" i="17" s="1"/>
  <c r="K12" i="17"/>
  <c r="L12" i="17" s="1"/>
  <c r="K13" i="17"/>
  <c r="L13" i="17" s="1"/>
  <c r="K30" i="17"/>
  <c r="L30" i="17" s="1"/>
  <c r="K31" i="17"/>
  <c r="L31" i="17" s="1"/>
  <c r="K33" i="17"/>
  <c r="L33" i="17" s="1"/>
  <c r="K35" i="17"/>
  <c r="L35" i="17" s="1"/>
  <c r="K36" i="17"/>
  <c r="L36" i="17" s="1"/>
  <c r="K37" i="17"/>
  <c r="L37" i="17" s="1"/>
  <c r="K38" i="17"/>
  <c r="L38" i="17" s="1"/>
  <c r="K39" i="17"/>
  <c r="L39" i="17" s="1"/>
  <c r="K40" i="17"/>
  <c r="L40" i="17" s="1"/>
  <c r="K41" i="17"/>
  <c r="L41" i="17" s="1"/>
  <c r="K42" i="17"/>
  <c r="L42" i="17" s="1"/>
  <c r="K43" i="17"/>
  <c r="L43" i="17" s="1"/>
  <c r="K45" i="17"/>
  <c r="L45" i="17" s="1"/>
  <c r="K46" i="17"/>
  <c r="L46" i="17" s="1"/>
  <c r="K48" i="17"/>
  <c r="L48" i="17" s="1"/>
  <c r="K49" i="17"/>
  <c r="L49" i="17" s="1"/>
  <c r="K50" i="17"/>
  <c r="L50" i="17" s="1"/>
  <c r="K51" i="17"/>
  <c r="L51" i="17" s="1"/>
  <c r="K53" i="17"/>
  <c r="L53" i="17" s="1"/>
  <c r="K54" i="17"/>
  <c r="L54" i="17" s="1"/>
  <c r="K55" i="17"/>
  <c r="L55" i="17" s="1"/>
  <c r="K56" i="17"/>
  <c r="L56" i="17" s="1"/>
  <c r="K57" i="17"/>
  <c r="L57" i="17" s="1"/>
  <c r="K58" i="17"/>
  <c r="L58" i="17" s="1"/>
  <c r="K60" i="17"/>
  <c r="L60" i="17" s="1"/>
  <c r="K61" i="17"/>
  <c r="L61" i="17" s="1"/>
  <c r="K62" i="17"/>
  <c r="L62" i="17" s="1"/>
  <c r="K63" i="17"/>
  <c r="L63" i="17" s="1"/>
  <c r="K64" i="17"/>
  <c r="L64" i="17" s="1"/>
  <c r="K66" i="17"/>
  <c r="L66" i="17" s="1"/>
  <c r="K67" i="17"/>
  <c r="L67" i="17" s="1"/>
  <c r="K68" i="17"/>
  <c r="L68" i="17" s="1"/>
  <c r="K69" i="17"/>
  <c r="L69" i="17" s="1"/>
  <c r="K70" i="17"/>
  <c r="L70" i="17" s="1"/>
  <c r="K71" i="17"/>
  <c r="L71" i="17" s="1"/>
  <c r="K72" i="17"/>
  <c r="L72" i="17" s="1"/>
  <c r="K73" i="17"/>
  <c r="L73" i="17" s="1"/>
  <c r="K74" i="17"/>
  <c r="L74" i="17" s="1"/>
  <c r="K75" i="17"/>
  <c r="L75" i="17" s="1"/>
  <c r="K76" i="17"/>
  <c r="L76" i="17" s="1"/>
  <c r="K77" i="17"/>
  <c r="L77" i="17" s="1"/>
  <c r="K78" i="17"/>
  <c r="L78" i="17" s="1"/>
  <c r="K79" i="17"/>
  <c r="L79" i="17" s="1"/>
  <c r="K80" i="17"/>
  <c r="L80" i="17" s="1"/>
  <c r="K81" i="17"/>
  <c r="L81" i="17" s="1"/>
  <c r="K82" i="17"/>
  <c r="L82" i="17" s="1"/>
  <c r="K83" i="17"/>
  <c r="L83" i="17" s="1"/>
  <c r="K84" i="17"/>
  <c r="L84" i="17" s="1"/>
  <c r="K85" i="17"/>
  <c r="L85" i="17" s="1"/>
  <c r="K86" i="17"/>
  <c r="L86" i="17" s="1"/>
  <c r="K87" i="17"/>
  <c r="L87" i="17" s="1"/>
  <c r="K88" i="17"/>
  <c r="L88" i="17" s="1"/>
  <c r="K89" i="17"/>
  <c r="L89" i="17" s="1"/>
  <c r="K90" i="17"/>
  <c r="L90" i="17" s="1"/>
  <c r="K91" i="17"/>
  <c r="L91" i="17" s="1"/>
  <c r="K92" i="17"/>
  <c r="L92" i="17" s="1"/>
  <c r="K93" i="17"/>
  <c r="L93" i="17" s="1"/>
  <c r="K94" i="17"/>
  <c r="L94" i="17" s="1"/>
  <c r="K95" i="17"/>
  <c r="L95" i="17" s="1"/>
  <c r="K96" i="17"/>
  <c r="L96" i="17" s="1"/>
  <c r="K97" i="17"/>
  <c r="L97" i="17" s="1"/>
  <c r="K98" i="17"/>
  <c r="L98" i="17" s="1"/>
  <c r="K99" i="17"/>
  <c r="L99" i="17" s="1"/>
  <c r="K100" i="17"/>
  <c r="L100" i="17" s="1"/>
  <c r="K101" i="17"/>
  <c r="L101" i="17" s="1"/>
  <c r="K103" i="17"/>
  <c r="L103" i="17" s="1"/>
  <c r="K104" i="17"/>
  <c r="L104" i="17" s="1"/>
  <c r="K105" i="17"/>
  <c r="L105" i="17" s="1"/>
  <c r="K106" i="17"/>
  <c r="L106" i="17" s="1"/>
  <c r="K107" i="17"/>
  <c r="L107" i="17" s="1"/>
  <c r="K108" i="17"/>
  <c r="L108" i="17" s="1"/>
  <c r="K109" i="17"/>
  <c r="L109" i="17" s="1"/>
  <c r="K110" i="17"/>
  <c r="L110" i="17" s="1"/>
  <c r="K111" i="17"/>
  <c r="L111" i="17" s="1"/>
  <c r="K112" i="17"/>
  <c r="L112" i="17" s="1"/>
  <c r="K113" i="17"/>
  <c r="L113" i="17" s="1"/>
  <c r="K114" i="17"/>
  <c r="L114" i="17" s="1"/>
  <c r="K115" i="17"/>
  <c r="L115" i="17" s="1"/>
  <c r="K116" i="17"/>
  <c r="L116" i="17" s="1"/>
  <c r="K117" i="17"/>
  <c r="L117" i="17" s="1"/>
  <c r="K118" i="17"/>
  <c r="L118" i="17" s="1"/>
  <c r="K119" i="17"/>
  <c r="L119" i="17" s="1"/>
  <c r="K120" i="17"/>
  <c r="L120" i="17" s="1"/>
  <c r="K121" i="17"/>
  <c r="L121" i="17" s="1"/>
  <c r="K123" i="17"/>
  <c r="L123" i="17" s="1"/>
  <c r="K124" i="17"/>
  <c r="L124" i="17" s="1"/>
  <c r="K125" i="17"/>
  <c r="L125" i="17" s="1"/>
  <c r="K126" i="17"/>
  <c r="L126" i="17" s="1"/>
  <c r="K128" i="17"/>
  <c r="L128" i="17" s="1"/>
  <c r="K129" i="17"/>
  <c r="L129" i="17" s="1"/>
  <c r="K130" i="17"/>
  <c r="L130" i="17" s="1"/>
  <c r="K131" i="17"/>
  <c r="L131" i="17" s="1"/>
  <c r="K132" i="17"/>
  <c r="L132" i="17" s="1"/>
  <c r="K134" i="17"/>
  <c r="L134" i="17" s="1"/>
  <c r="K135" i="17"/>
  <c r="L135" i="17" s="1"/>
  <c r="K137" i="17"/>
  <c r="L137" i="17" s="1"/>
  <c r="K138" i="17"/>
  <c r="L138" i="17" s="1"/>
  <c r="K139" i="17"/>
  <c r="L139" i="17" s="1"/>
  <c r="K140" i="17"/>
  <c r="L140" i="17" s="1"/>
  <c r="K141" i="17"/>
  <c r="L141" i="17" s="1"/>
  <c r="K142" i="17"/>
  <c r="L142" i="17" s="1"/>
  <c r="K144" i="17"/>
  <c r="L144" i="17" s="1"/>
  <c r="K145" i="17"/>
  <c r="L145" i="17" s="1"/>
  <c r="K146" i="17"/>
  <c r="L146" i="17" s="1"/>
  <c r="K148" i="17"/>
  <c r="L148" i="17" s="1"/>
  <c r="K149" i="17"/>
  <c r="L149" i="17" s="1"/>
  <c r="K150" i="17"/>
  <c r="L150" i="17" s="1"/>
  <c r="K152" i="17"/>
  <c r="L152" i="17" s="1"/>
  <c r="K153" i="17"/>
  <c r="L153" i="17" s="1"/>
  <c r="K154" i="17"/>
  <c r="L154" i="17" s="1"/>
  <c r="K155" i="17"/>
  <c r="L155" i="17" s="1"/>
  <c r="K156" i="17"/>
  <c r="L156" i="17" s="1"/>
  <c r="K157" i="17"/>
  <c r="L157" i="17" s="1"/>
  <c r="K158" i="17"/>
  <c r="L158" i="17" s="1"/>
  <c r="K159" i="17"/>
  <c r="L159" i="17" s="1"/>
  <c r="K160" i="17"/>
  <c r="L160" i="17" s="1"/>
  <c r="K161" i="17"/>
  <c r="L161" i="17" s="1"/>
  <c r="K162" i="17"/>
  <c r="L162" i="17" s="1"/>
  <c r="K163" i="17"/>
  <c r="L163" i="17" s="1"/>
  <c r="K164" i="17"/>
  <c r="L164" i="17" s="1"/>
  <c r="K165" i="17"/>
  <c r="L165" i="17" s="1"/>
  <c r="K166" i="17"/>
  <c r="L166" i="17" s="1"/>
  <c r="K167" i="17"/>
  <c r="L167" i="17" s="1"/>
  <c r="K168" i="17"/>
  <c r="L168" i="17" s="1"/>
  <c r="K169" i="17"/>
  <c r="L169" i="17" s="1"/>
  <c r="K170" i="17"/>
  <c r="L170" i="17" s="1"/>
  <c r="K171" i="17"/>
  <c r="L171" i="17" s="1"/>
  <c r="K173" i="17"/>
  <c r="L173" i="17" s="1"/>
  <c r="K174" i="17"/>
  <c r="L174" i="17" s="1"/>
  <c r="K175" i="17"/>
  <c r="L175" i="17" s="1"/>
  <c r="K176" i="17"/>
  <c r="L176" i="17" s="1"/>
  <c r="K177" i="17"/>
  <c r="L177" i="17" s="1"/>
  <c r="K178" i="17"/>
  <c r="L178" i="17" s="1"/>
  <c r="K179" i="17"/>
  <c r="L179" i="17" s="1"/>
  <c r="K180" i="17"/>
  <c r="L180" i="17" s="1"/>
  <c r="K181" i="17"/>
  <c r="L181" i="17" s="1"/>
  <c r="K182" i="17"/>
  <c r="L182" i="17" s="1"/>
  <c r="K183" i="17"/>
  <c r="L183" i="17" s="1"/>
  <c r="K184" i="17"/>
  <c r="L184" i="17" s="1"/>
  <c r="K185" i="17"/>
  <c r="L185" i="17" s="1"/>
  <c r="K186" i="17"/>
  <c r="L186" i="17" s="1"/>
  <c r="K187" i="17"/>
  <c r="L187" i="17" s="1"/>
  <c r="K188" i="17"/>
  <c r="L188" i="17" s="1"/>
  <c r="K189" i="17"/>
  <c r="L189" i="17" s="1"/>
  <c r="K190" i="17"/>
  <c r="L190" i="17" s="1"/>
  <c r="H463" i="4"/>
  <c r="H430" i="4"/>
  <c r="H423" i="4"/>
  <c r="H414" i="4"/>
  <c r="H363" i="4"/>
  <c r="H304" i="4"/>
  <c r="H257" i="4"/>
  <c r="H270" i="17"/>
  <c r="J270" i="17" s="1"/>
  <c r="J256" i="17" s="1"/>
  <c r="E313" i="4"/>
  <c r="H34" i="4"/>
  <c r="H34" i="15"/>
  <c r="H32" i="15" s="1"/>
  <c r="H151" i="17"/>
  <c r="H34" i="17"/>
  <c r="J266" i="22" l="1"/>
  <c r="K266" i="22" s="1"/>
  <c r="L266" i="22" s="1"/>
  <c r="G122" i="17"/>
  <c r="J471" i="22"/>
  <c r="J392" i="22" s="1"/>
  <c r="I191" i="15"/>
  <c r="K34" i="17"/>
  <c r="L34" i="17" s="1"/>
  <c r="J270" i="15"/>
  <c r="J256" i="15" s="1"/>
  <c r="J270" i="4"/>
  <c r="J256" i="4" s="1"/>
  <c r="K79" i="22"/>
  <c r="L79" i="22" s="1"/>
  <c r="K67" i="22"/>
  <c r="L67" i="22" s="1"/>
  <c r="K62" i="22"/>
  <c r="L62" i="22" s="1"/>
  <c r="K70" i="22"/>
  <c r="L70" i="22" s="1"/>
  <c r="K491" i="22"/>
  <c r="L491" i="22" s="1"/>
  <c r="K163" i="22"/>
  <c r="L163" i="22" s="1"/>
  <c r="K125" i="22"/>
  <c r="L125" i="22" s="1"/>
  <c r="K95" i="22"/>
  <c r="L95" i="22" s="1"/>
  <c r="K42" i="22"/>
  <c r="L42" i="22" s="1"/>
  <c r="K6" i="22"/>
  <c r="L6" i="22" s="1"/>
  <c r="K482" i="22"/>
  <c r="L482" i="22" s="1"/>
  <c r="K477" i="22"/>
  <c r="L477" i="22" s="1"/>
  <c r="K475" i="22"/>
  <c r="L475" i="22" s="1"/>
  <c r="K458" i="22"/>
  <c r="L458" i="22" s="1"/>
  <c r="K431" i="22"/>
  <c r="L431" i="22" s="1"/>
  <c r="K428" i="22"/>
  <c r="L428" i="22" s="1"/>
  <c r="K421" i="22"/>
  <c r="L421" i="22" s="1"/>
  <c r="K405" i="22"/>
  <c r="L405" i="22" s="1"/>
  <c r="K404" i="22"/>
  <c r="L404" i="22" s="1"/>
  <c r="K400" i="22"/>
  <c r="L400" i="22" s="1"/>
  <c r="K397" i="22"/>
  <c r="L397" i="22" s="1"/>
  <c r="K396" i="22"/>
  <c r="L396" i="22" s="1"/>
  <c r="K394" i="22"/>
  <c r="L394" i="22" s="1"/>
  <c r="K393" i="22"/>
  <c r="L393" i="22" s="1"/>
  <c r="K379" i="22"/>
  <c r="L379" i="22" s="1"/>
  <c r="K375" i="22"/>
  <c r="L375" i="22" s="1"/>
  <c r="K367" i="22"/>
  <c r="L367" i="22" s="1"/>
  <c r="K359" i="22"/>
  <c r="L359" i="22" s="1"/>
  <c r="K351" i="22"/>
  <c r="L351" i="22" s="1"/>
  <c r="K347" i="22"/>
  <c r="L347" i="22" s="1"/>
  <c r="K343" i="22"/>
  <c r="L343" i="22" s="1"/>
  <c r="K337" i="22"/>
  <c r="L337" i="22" s="1"/>
  <c r="K334" i="22"/>
  <c r="L334" i="22" s="1"/>
  <c r="K330" i="22"/>
  <c r="L330" i="22" s="1"/>
  <c r="K327" i="22"/>
  <c r="L327" i="22" s="1"/>
  <c r="K326" i="22"/>
  <c r="L326" i="22" s="1"/>
  <c r="K322" i="22"/>
  <c r="L322" i="22" s="1"/>
  <c r="K312" i="22"/>
  <c r="L312" i="22" s="1"/>
  <c r="K298" i="22"/>
  <c r="L298" i="22" s="1"/>
  <c r="K291" i="22"/>
  <c r="L291" i="22" s="1"/>
  <c r="K284" i="22"/>
  <c r="L284" i="22" s="1"/>
  <c r="K283" i="22"/>
  <c r="L283" i="22" s="1"/>
  <c r="K279" i="22"/>
  <c r="L279" i="22" s="1"/>
  <c r="K275" i="22"/>
  <c r="L275" i="22" s="1"/>
  <c r="K269" i="22"/>
  <c r="L269" i="22" s="1"/>
  <c r="K267" i="22"/>
  <c r="L267" i="22" s="1"/>
  <c r="J265" i="22"/>
  <c r="K262" i="22"/>
  <c r="L262" i="22" s="1"/>
  <c r="K246" i="22"/>
  <c r="L246" i="22" s="1"/>
  <c r="K244" i="22"/>
  <c r="L244" i="22" s="1"/>
  <c r="K243" i="22"/>
  <c r="L243" i="22" s="1"/>
  <c r="K218" i="22"/>
  <c r="L218" i="22" s="1"/>
  <c r="K124" i="22"/>
  <c r="L124" i="22" s="1"/>
  <c r="K98" i="22"/>
  <c r="L98" i="22" s="1"/>
  <c r="K46" i="22"/>
  <c r="L46" i="22" s="1"/>
  <c r="K236" i="22"/>
  <c r="L236" i="22" s="1"/>
  <c r="K235" i="22"/>
  <c r="L235" i="22" s="1"/>
  <c r="K232" i="22"/>
  <c r="L232" i="22" s="1"/>
  <c r="K231" i="22"/>
  <c r="L231" i="22" s="1"/>
  <c r="K228" i="22"/>
  <c r="L228" i="22" s="1"/>
  <c r="K227" i="22"/>
  <c r="L227" i="22" s="1"/>
  <c r="K224" i="22"/>
  <c r="L224" i="22" s="1"/>
  <c r="K223" i="22"/>
  <c r="L223" i="22" s="1"/>
  <c r="K220" i="22"/>
  <c r="L220" i="22" s="1"/>
  <c r="K219" i="22"/>
  <c r="L219" i="22" s="1"/>
  <c r="K216" i="22"/>
  <c r="L216" i="22" s="1"/>
  <c r="K215" i="22"/>
  <c r="L215" i="22" s="1"/>
  <c r="K212" i="22"/>
  <c r="L212" i="22" s="1"/>
  <c r="K211" i="22"/>
  <c r="L211" i="22" s="1"/>
  <c r="K208" i="22"/>
  <c r="L208" i="22" s="1"/>
  <c r="K207" i="22"/>
  <c r="L207" i="22" s="1"/>
  <c r="K204" i="22"/>
  <c r="L204" i="22" s="1"/>
  <c r="K200" i="22"/>
  <c r="L200" i="22" s="1"/>
  <c r="K199" i="22"/>
  <c r="L199" i="22" s="1"/>
  <c r="K196" i="22"/>
  <c r="L196" i="22" s="1"/>
  <c r="K195" i="22"/>
  <c r="L195" i="22" s="1"/>
  <c r="K186" i="22"/>
  <c r="L186" i="22" s="1"/>
  <c r="K185" i="22"/>
  <c r="L185" i="22" s="1"/>
  <c r="K182" i="22"/>
  <c r="L182" i="22" s="1"/>
  <c r="K181" i="22"/>
  <c r="L181" i="22" s="1"/>
  <c r="K178" i="22"/>
  <c r="L178" i="22" s="1"/>
  <c r="K177" i="22"/>
  <c r="L177" i="22" s="1"/>
  <c r="K174" i="22"/>
  <c r="L174" i="22" s="1"/>
  <c r="K173" i="22"/>
  <c r="L173" i="22" s="1"/>
  <c r="K168" i="22"/>
  <c r="L168" i="22" s="1"/>
  <c r="K165" i="22"/>
  <c r="L165" i="22" s="1"/>
  <c r="K161" i="22"/>
  <c r="L161" i="22" s="1"/>
  <c r="K157" i="22"/>
  <c r="L157" i="22" s="1"/>
  <c r="K153" i="22"/>
  <c r="L153" i="22" s="1"/>
  <c r="K152" i="22"/>
  <c r="L152" i="22" s="1"/>
  <c r="K148" i="22"/>
  <c r="L148" i="22" s="1"/>
  <c r="K146" i="22"/>
  <c r="L146" i="22" s="1"/>
  <c r="K142" i="22"/>
  <c r="L142" i="22" s="1"/>
  <c r="K141" i="22"/>
  <c r="L141" i="22" s="1"/>
  <c r="K138" i="22"/>
  <c r="L138" i="22" s="1"/>
  <c r="K137" i="22"/>
  <c r="L137" i="22" s="1"/>
  <c r="K132" i="22"/>
  <c r="L132" i="22" s="1"/>
  <c r="K131" i="22"/>
  <c r="L131" i="22" s="1"/>
  <c r="K128" i="22"/>
  <c r="L128" i="22" s="1"/>
  <c r="K126" i="22"/>
  <c r="L126" i="22" s="1"/>
  <c r="K121" i="22"/>
  <c r="L121" i="22" s="1"/>
  <c r="K118" i="22"/>
  <c r="L118" i="22" s="1"/>
  <c r="K117" i="22"/>
  <c r="L117" i="22" s="1"/>
  <c r="K114" i="22"/>
  <c r="L114" i="22" s="1"/>
  <c r="K113" i="22"/>
  <c r="L113" i="22" s="1"/>
  <c r="K110" i="22"/>
  <c r="L110" i="22" s="1"/>
  <c r="K109" i="22"/>
  <c r="L109" i="22" s="1"/>
  <c r="K106" i="22"/>
  <c r="L106" i="22" s="1"/>
  <c r="K105" i="22"/>
  <c r="L105" i="22" s="1"/>
  <c r="K101" i="22"/>
  <c r="L101" i="22" s="1"/>
  <c r="K97" i="22"/>
  <c r="L97" i="22" s="1"/>
  <c r="K96" i="22"/>
  <c r="L96" i="22" s="1"/>
  <c r="K93" i="22"/>
  <c r="L93" i="22" s="1"/>
  <c r="K89" i="22"/>
  <c r="L89" i="22" s="1"/>
  <c r="K88" i="22"/>
  <c r="L88" i="22" s="1"/>
  <c r="K85" i="22"/>
  <c r="L85" i="22" s="1"/>
  <c r="K81" i="22"/>
  <c r="L81" i="22" s="1"/>
  <c r="K80" i="22"/>
  <c r="L80" i="22" s="1"/>
  <c r="K77" i="22"/>
  <c r="L77" i="22" s="1"/>
  <c r="K73" i="22"/>
  <c r="L73" i="22" s="1"/>
  <c r="K69" i="22"/>
  <c r="L69" i="22" s="1"/>
  <c r="K64" i="22"/>
  <c r="L64" i="22" s="1"/>
  <c r="K63" i="22"/>
  <c r="L63" i="22" s="1"/>
  <c r="K60" i="22"/>
  <c r="L60" i="22" s="1"/>
  <c r="K58" i="22"/>
  <c r="L58" i="22" s="1"/>
  <c r="K54" i="22"/>
  <c r="L54" i="22" s="1"/>
  <c r="K50" i="22"/>
  <c r="L50" i="22" s="1"/>
  <c r="K49" i="22"/>
  <c r="L49" i="22" s="1"/>
  <c r="K45" i="22"/>
  <c r="L45" i="22" s="1"/>
  <c r="K43" i="22"/>
  <c r="L43" i="22" s="1"/>
  <c r="K40" i="22"/>
  <c r="L40" i="22" s="1"/>
  <c r="K39" i="22"/>
  <c r="L39" i="22" s="1"/>
  <c r="K36" i="22"/>
  <c r="L36" i="22" s="1"/>
  <c r="K35" i="22"/>
  <c r="L35" i="22" s="1"/>
  <c r="J33" i="22"/>
  <c r="K33" i="22" s="1"/>
  <c r="L33" i="22" s="1"/>
  <c r="J30" i="22"/>
  <c r="K30" i="22" s="1"/>
  <c r="L30" i="22" s="1"/>
  <c r="K12" i="22"/>
  <c r="L12" i="22" s="1"/>
  <c r="K11" i="22"/>
  <c r="L11" i="22" s="1"/>
  <c r="K8" i="22"/>
  <c r="L8" i="22" s="1"/>
  <c r="K7" i="22"/>
  <c r="L7" i="22" s="1"/>
  <c r="K209" i="22"/>
  <c r="L209" i="22" s="1"/>
  <c r="K115" i="22"/>
  <c r="L115" i="22" s="1"/>
  <c r="K82" i="22"/>
  <c r="L82" i="22" s="1"/>
  <c r="K78" i="22"/>
  <c r="L78" i="22" s="1"/>
  <c r="K66" i="22"/>
  <c r="L66" i="22" s="1"/>
  <c r="K41" i="22"/>
  <c r="L41" i="22" s="1"/>
  <c r="K9" i="22"/>
  <c r="L9" i="22" s="1"/>
  <c r="K160" i="22"/>
  <c r="L160" i="22" s="1"/>
  <c r="K166" i="22"/>
  <c r="L166" i="22" s="1"/>
  <c r="K241" i="22"/>
  <c r="L241" i="22" s="1"/>
  <c r="K362" i="22"/>
  <c r="L362" i="22" s="1"/>
  <c r="K329" i="22"/>
  <c r="L329" i="22" s="1"/>
  <c r="K311" i="22"/>
  <c r="L311" i="22" s="1"/>
  <c r="K299" i="22"/>
  <c r="L299" i="22" s="1"/>
  <c r="K278" i="22"/>
  <c r="L278" i="22" s="1"/>
  <c r="K249" i="22"/>
  <c r="L249" i="22" s="1"/>
  <c r="K229" i="22"/>
  <c r="L229" i="22" s="1"/>
  <c r="K221" i="22"/>
  <c r="L221" i="22" s="1"/>
  <c r="K217" i="22"/>
  <c r="L217" i="22" s="1"/>
  <c r="K206" i="22"/>
  <c r="L206" i="22" s="1"/>
  <c r="K205" i="22"/>
  <c r="L205" i="22" s="1"/>
  <c r="K197" i="22"/>
  <c r="L197" i="22" s="1"/>
  <c r="K193" i="22"/>
  <c r="L193" i="22" s="1"/>
  <c r="K188" i="22"/>
  <c r="L188" i="22" s="1"/>
  <c r="K187" i="22"/>
  <c r="L187" i="22" s="1"/>
  <c r="K180" i="22"/>
  <c r="L180" i="22" s="1"/>
  <c r="K179" i="22"/>
  <c r="L179" i="22" s="1"/>
  <c r="K171" i="22"/>
  <c r="L171" i="22" s="1"/>
  <c r="K170" i="22"/>
  <c r="L170" i="22" s="1"/>
  <c r="K167" i="22"/>
  <c r="L167" i="22" s="1"/>
  <c r="K162" i="22"/>
  <c r="L162" i="22" s="1"/>
  <c r="K159" i="22"/>
  <c r="L159" i="22" s="1"/>
  <c r="K158" i="22"/>
  <c r="L158" i="22" s="1"/>
  <c r="K155" i="22"/>
  <c r="L155" i="22" s="1"/>
  <c r="K154" i="22"/>
  <c r="L154" i="22" s="1"/>
  <c r="K150" i="22"/>
  <c r="L150" i="22" s="1"/>
  <c r="K149" i="22"/>
  <c r="L149" i="22" s="1"/>
  <c r="J145" i="22"/>
  <c r="K145" i="22" s="1"/>
  <c r="L145" i="22" s="1"/>
  <c r="J144" i="22"/>
  <c r="K144" i="22" s="1"/>
  <c r="L144" i="22" s="1"/>
  <c r="K140" i="22"/>
  <c r="L140" i="22" s="1"/>
  <c r="K134" i="22"/>
  <c r="L134" i="22" s="1"/>
  <c r="K130" i="22"/>
  <c r="L130" i="22" s="1"/>
  <c r="K129" i="22"/>
  <c r="L129" i="22" s="1"/>
  <c r="K116" i="22"/>
  <c r="L116" i="22" s="1"/>
  <c r="K112" i="22"/>
  <c r="L112" i="22" s="1"/>
  <c r="K108" i="22"/>
  <c r="L108" i="22" s="1"/>
  <c r="K107" i="22"/>
  <c r="L107" i="22" s="1"/>
  <c r="K99" i="22"/>
  <c r="L99" i="22" s="1"/>
  <c r="K94" i="22"/>
  <c r="L94" i="22" s="1"/>
  <c r="K91" i="22"/>
  <c r="L91" i="22" s="1"/>
  <c r="K90" i="22"/>
  <c r="L90" i="22" s="1"/>
  <c r="K87" i="22"/>
  <c r="L87" i="22" s="1"/>
  <c r="K86" i="22"/>
  <c r="L86" i="22" s="1"/>
  <c r="K83" i="22"/>
  <c r="L83" i="22" s="1"/>
  <c r="K75" i="22"/>
  <c r="L75" i="22" s="1"/>
  <c r="K74" i="22"/>
  <c r="L74" i="22" s="1"/>
  <c r="K71" i="22"/>
  <c r="L71" i="22" s="1"/>
  <c r="K61" i="22"/>
  <c r="L61" i="22" s="1"/>
  <c r="K57" i="22"/>
  <c r="L57" i="22" s="1"/>
  <c r="K56" i="22"/>
  <c r="L56" i="22" s="1"/>
  <c r="K53" i="22"/>
  <c r="L53" i="22" s="1"/>
  <c r="K38" i="22"/>
  <c r="L38" i="22" s="1"/>
  <c r="K37" i="22"/>
  <c r="L37" i="22" s="1"/>
  <c r="K13" i="22"/>
  <c r="L13" i="22" s="1"/>
  <c r="K10" i="22"/>
  <c r="L10" i="22" s="1"/>
  <c r="K203" i="22"/>
  <c r="L203" i="22" s="1"/>
  <c r="K190" i="22"/>
  <c r="L190" i="22" s="1"/>
  <c r="K72" i="22"/>
  <c r="L72" i="22" s="1"/>
  <c r="K264" i="22"/>
  <c r="L264" i="22" s="1"/>
  <c r="K169" i="22"/>
  <c r="L169" i="22" s="1"/>
  <c r="K276" i="22"/>
  <c r="L276" i="22" s="1"/>
  <c r="K448" i="22"/>
  <c r="L448" i="22" s="1"/>
  <c r="K407" i="22"/>
  <c r="L407" i="22" s="1"/>
  <c r="K342" i="22"/>
  <c r="L342" i="22" s="1"/>
  <c r="K289" i="22"/>
  <c r="L289" i="22" s="1"/>
  <c r="K281" i="22"/>
  <c r="L281" i="22" s="1"/>
  <c r="K233" i="22"/>
  <c r="L233" i="22" s="1"/>
  <c r="K230" i="22"/>
  <c r="L230" i="22" s="1"/>
  <c r="K450" i="22"/>
  <c r="L450" i="22" s="1"/>
  <c r="K355" i="22"/>
  <c r="L355" i="22" s="1"/>
  <c r="K287" i="22"/>
  <c r="L287" i="22" s="1"/>
  <c r="K189" i="22"/>
  <c r="L189" i="22" s="1"/>
  <c r="K247" i="22"/>
  <c r="L247" i="22" s="1"/>
  <c r="K192" i="22"/>
  <c r="L192" i="22" s="1"/>
  <c r="K478" i="22"/>
  <c r="L478" i="22" s="1"/>
  <c r="K255" i="22"/>
  <c r="L255" i="22" s="1"/>
  <c r="K461" i="22"/>
  <c r="L461" i="22" s="1"/>
  <c r="K390" i="22"/>
  <c r="L390" i="22" s="1"/>
  <c r="K354" i="22"/>
  <c r="L354" i="22" s="1"/>
  <c r="K317" i="22"/>
  <c r="L317" i="22" s="1"/>
  <c r="K303" i="22"/>
  <c r="L303" i="22" s="1"/>
  <c r="K286" i="22"/>
  <c r="L286" i="22" s="1"/>
  <c r="K285" i="22"/>
  <c r="L285" i="22" s="1"/>
  <c r="K282" i="22"/>
  <c r="L282" i="22" s="1"/>
  <c r="K277" i="22"/>
  <c r="L277" i="22" s="1"/>
  <c r="K274" i="22"/>
  <c r="L274" i="22" s="1"/>
  <c r="K273" i="22"/>
  <c r="L273" i="22" s="1"/>
  <c r="K238" i="22"/>
  <c r="L238" i="22" s="1"/>
  <c r="K237" i="22"/>
  <c r="L237" i="22" s="1"/>
  <c r="K234" i="22"/>
  <c r="L234" i="22" s="1"/>
  <c r="K226" i="22"/>
  <c r="L226" i="22" s="1"/>
  <c r="K225" i="22"/>
  <c r="L225" i="22" s="1"/>
  <c r="K222" i="22"/>
  <c r="L222" i="22" s="1"/>
  <c r="K214" i="22"/>
  <c r="L214" i="22" s="1"/>
  <c r="K213" i="22"/>
  <c r="L213" i="22" s="1"/>
  <c r="K210" i="22"/>
  <c r="L210" i="22" s="1"/>
  <c r="K202" i="22"/>
  <c r="L202" i="22" s="1"/>
  <c r="K201" i="22"/>
  <c r="L201" i="22" s="1"/>
  <c r="K198" i="22"/>
  <c r="L198" i="22" s="1"/>
  <c r="K399" i="22"/>
  <c r="L399" i="22" s="1"/>
  <c r="K381" i="22"/>
  <c r="L381" i="22" s="1"/>
  <c r="K259" i="22"/>
  <c r="L259" i="22" s="1"/>
  <c r="K481" i="22"/>
  <c r="L481" i="22" s="1"/>
  <c r="D270" i="22"/>
  <c r="K489" i="22"/>
  <c r="L489" i="22" s="1"/>
  <c r="K383" i="22"/>
  <c r="L383" i="22" s="1"/>
  <c r="K371" i="22"/>
  <c r="L371" i="22" s="1"/>
  <c r="K252" i="22"/>
  <c r="L252" i="22" s="1"/>
  <c r="K251" i="22"/>
  <c r="L251" i="22" s="1"/>
  <c r="K248" i="22"/>
  <c r="L248" i="22" s="1"/>
  <c r="K240" i="22"/>
  <c r="L240" i="22" s="1"/>
  <c r="J31" i="22"/>
  <c r="K31" i="22" s="1"/>
  <c r="L31" i="22" s="1"/>
  <c r="K459" i="22"/>
  <c r="L459" i="22" s="1"/>
  <c r="K455" i="22"/>
  <c r="L455" i="22" s="1"/>
  <c r="K451" i="22"/>
  <c r="L451" i="22" s="1"/>
  <c r="K447" i="22"/>
  <c r="L447" i="22" s="1"/>
  <c r="K443" i="22"/>
  <c r="L443" i="22" s="1"/>
  <c r="K439" i="22"/>
  <c r="L439" i="22" s="1"/>
  <c r="K434" i="22"/>
  <c r="L434" i="22" s="1"/>
  <c r="K432" i="22"/>
  <c r="L432" i="22" s="1"/>
  <c r="K415" i="22"/>
  <c r="L415" i="22" s="1"/>
  <c r="K401" i="22"/>
  <c r="L401" i="22" s="1"/>
  <c r="K349" i="22"/>
  <c r="L349" i="22" s="1"/>
  <c r="K344" i="22"/>
  <c r="L344" i="22" s="1"/>
  <c r="K332" i="22"/>
  <c r="L332" i="22" s="1"/>
  <c r="K331" i="22"/>
  <c r="L331" i="22" s="1"/>
  <c r="K324" i="22"/>
  <c r="L324" i="22" s="1"/>
  <c r="K323" i="22"/>
  <c r="L323" i="22" s="1"/>
  <c r="K320" i="22"/>
  <c r="L320" i="22" s="1"/>
  <c r="K294" i="22"/>
  <c r="L294" i="22" s="1"/>
  <c r="K123" i="22"/>
  <c r="L123" i="22" s="1"/>
  <c r="K55" i="22"/>
  <c r="L55" i="22" s="1"/>
  <c r="K467" i="22"/>
  <c r="L467" i="22" s="1"/>
  <c r="K409" i="22"/>
  <c r="L409" i="22" s="1"/>
  <c r="K406" i="22"/>
  <c r="L406" i="22" s="1"/>
  <c r="K402" i="22"/>
  <c r="L402" i="22" s="1"/>
  <c r="K398" i="22"/>
  <c r="L398" i="22" s="1"/>
  <c r="K376" i="22"/>
  <c r="L376" i="22" s="1"/>
  <c r="K368" i="22"/>
  <c r="L368" i="22" s="1"/>
  <c r="K360" i="22"/>
  <c r="L360" i="22" s="1"/>
  <c r="K357" i="22"/>
  <c r="L357" i="22" s="1"/>
  <c r="K352" i="22"/>
  <c r="L352" i="22" s="1"/>
  <c r="K346" i="22"/>
  <c r="L346" i="22" s="1"/>
  <c r="K310" i="22"/>
  <c r="L310" i="22" s="1"/>
  <c r="K307" i="22"/>
  <c r="L307" i="22" s="1"/>
  <c r="K306" i="22"/>
  <c r="L306" i="22" s="1"/>
  <c r="K263" i="22"/>
  <c r="L263" i="22" s="1"/>
  <c r="K492" i="22"/>
  <c r="L492" i="22" s="1"/>
  <c r="J485" i="22"/>
  <c r="K485" i="22" s="1"/>
  <c r="L485" i="22" s="1"/>
  <c r="K456" i="22"/>
  <c r="L456" i="22" s="1"/>
  <c r="K445" i="22"/>
  <c r="L445" i="22" s="1"/>
  <c r="K444" i="22"/>
  <c r="L444" i="22" s="1"/>
  <c r="K437" i="22"/>
  <c r="L437" i="22" s="1"/>
  <c r="K410" i="22"/>
  <c r="L410" i="22" s="1"/>
  <c r="K389" i="22"/>
  <c r="L389" i="22" s="1"/>
  <c r="K384" i="22"/>
  <c r="L384" i="22" s="1"/>
  <c r="K378" i="22"/>
  <c r="L378" i="22" s="1"/>
  <c r="K373" i="22"/>
  <c r="L373" i="22" s="1"/>
  <c r="K370" i="22"/>
  <c r="L370" i="22" s="1"/>
  <c r="K365" i="22"/>
  <c r="L365" i="22" s="1"/>
  <c r="K295" i="22"/>
  <c r="L295" i="22" s="1"/>
  <c r="K184" i="22"/>
  <c r="L184" i="22" s="1"/>
  <c r="K183" i="22"/>
  <c r="L183" i="22" s="1"/>
  <c r="K176" i="22"/>
  <c r="L176" i="22" s="1"/>
  <c r="K175" i="22"/>
  <c r="L175" i="22" s="1"/>
  <c r="K139" i="22"/>
  <c r="L139" i="22" s="1"/>
  <c r="K120" i="22"/>
  <c r="L120" i="22" s="1"/>
  <c r="K119" i="22"/>
  <c r="L119" i="22" s="1"/>
  <c r="K111" i="22"/>
  <c r="L111" i="22" s="1"/>
  <c r="K104" i="22"/>
  <c r="L104" i="22" s="1"/>
  <c r="K103" i="22"/>
  <c r="L103" i="22" s="1"/>
  <c r="K51" i="22"/>
  <c r="L51" i="22" s="1"/>
  <c r="K48" i="22"/>
  <c r="L48" i="22" s="1"/>
  <c r="K487" i="22"/>
  <c r="L487" i="22" s="1"/>
  <c r="K476" i="22"/>
  <c r="L476" i="22" s="1"/>
  <c r="K469" i="22"/>
  <c r="L469" i="22" s="1"/>
  <c r="K460" i="22"/>
  <c r="L460" i="22" s="1"/>
  <c r="K453" i="22"/>
  <c r="L453" i="22" s="1"/>
  <c r="K452" i="22"/>
  <c r="L452" i="22" s="1"/>
  <c r="K440" i="22"/>
  <c r="L440" i="22" s="1"/>
  <c r="K427" i="22"/>
  <c r="L427" i="22" s="1"/>
  <c r="K418" i="22"/>
  <c r="L418" i="22" s="1"/>
  <c r="K416" i="22"/>
  <c r="L416" i="22" s="1"/>
  <c r="K468" i="22"/>
  <c r="L468" i="22" s="1"/>
  <c r="K466" i="22"/>
  <c r="L466" i="22" s="1"/>
  <c r="K464" i="22"/>
  <c r="L464" i="22" s="1"/>
  <c r="K422" i="22"/>
  <c r="L422" i="22" s="1"/>
  <c r="K420" i="22"/>
  <c r="L420" i="22" s="1"/>
  <c r="K296" i="22"/>
  <c r="L296" i="22" s="1"/>
  <c r="K290" i="22"/>
  <c r="L290" i="22" s="1"/>
  <c r="K268" i="22"/>
  <c r="L268" i="22" s="1"/>
  <c r="K253" i="22"/>
  <c r="L253" i="22" s="1"/>
  <c r="K250" i="22"/>
  <c r="L250" i="22" s="1"/>
  <c r="K245" i="22"/>
  <c r="L245" i="22" s="1"/>
  <c r="K242" i="22"/>
  <c r="L242" i="22" s="1"/>
  <c r="K164" i="22"/>
  <c r="L164" i="22" s="1"/>
  <c r="K156" i="22"/>
  <c r="L156" i="22" s="1"/>
  <c r="K135" i="22"/>
  <c r="L135" i="22" s="1"/>
  <c r="K100" i="22"/>
  <c r="L100" i="22" s="1"/>
  <c r="K92" i="22"/>
  <c r="L92" i="22" s="1"/>
  <c r="K84" i="22"/>
  <c r="L84" i="22" s="1"/>
  <c r="K76" i="22"/>
  <c r="L76" i="22" s="1"/>
  <c r="K68" i="22"/>
  <c r="L68" i="22" s="1"/>
  <c r="K442" i="22"/>
  <c r="L442" i="22" s="1"/>
  <c r="K425" i="22"/>
  <c r="L425" i="22" s="1"/>
  <c r="K424" i="22"/>
  <c r="L424" i="22" s="1"/>
  <c r="K391" i="22"/>
  <c r="L391" i="22" s="1"/>
  <c r="K388" i="22"/>
  <c r="L388" i="22" s="1"/>
  <c r="K387" i="22"/>
  <c r="L387" i="22" s="1"/>
  <c r="K333" i="22"/>
  <c r="L333" i="22" s="1"/>
  <c r="K325" i="22"/>
  <c r="L325" i="22" s="1"/>
  <c r="K321" i="22"/>
  <c r="L321" i="22" s="1"/>
  <c r="K309" i="22"/>
  <c r="L309" i="22" s="1"/>
  <c r="K301" i="22"/>
  <c r="L301" i="22" s="1"/>
  <c r="K258" i="22"/>
  <c r="L258" i="22" s="1"/>
  <c r="K490" i="22"/>
  <c r="L490" i="22" s="1"/>
  <c r="K380" i="22"/>
  <c r="L380" i="22" s="1"/>
  <c r="K372" i="22"/>
  <c r="L372" i="22" s="1"/>
  <c r="K364" i="22"/>
  <c r="L364" i="22" s="1"/>
  <c r="K356" i="22"/>
  <c r="L356" i="22" s="1"/>
  <c r="K348" i="22"/>
  <c r="L348" i="22" s="1"/>
  <c r="K300" i="22"/>
  <c r="L300" i="22" s="1"/>
  <c r="K304" i="4"/>
  <c r="L304" i="4" s="1"/>
  <c r="J484" i="22"/>
  <c r="K484" i="22" s="1"/>
  <c r="L484" i="22" s="1"/>
  <c r="K433" i="22"/>
  <c r="L433" i="22" s="1"/>
  <c r="K429" i="22"/>
  <c r="L429" i="22" s="1"/>
  <c r="K417" i="22"/>
  <c r="L417" i="22" s="1"/>
  <c r="K403" i="22"/>
  <c r="L403" i="22" s="1"/>
  <c r="K395" i="22"/>
  <c r="L395" i="22" s="1"/>
  <c r="K308" i="22"/>
  <c r="L308" i="22" s="1"/>
  <c r="K288" i="22"/>
  <c r="L288" i="22" s="1"/>
  <c r="K280" i="22"/>
  <c r="L280" i="22" s="1"/>
  <c r="K272" i="22"/>
  <c r="L272" i="22" s="1"/>
  <c r="E270" i="22"/>
  <c r="K465" i="22"/>
  <c r="L465" i="22" s="1"/>
  <c r="K457" i="22"/>
  <c r="L457" i="22" s="1"/>
  <c r="K449" i="22"/>
  <c r="L449" i="22" s="1"/>
  <c r="K441" i="22"/>
  <c r="L441" i="22" s="1"/>
  <c r="K411" i="22"/>
  <c r="L411" i="22" s="1"/>
  <c r="K385" i="22"/>
  <c r="L385" i="22" s="1"/>
  <c r="K377" i="22"/>
  <c r="L377" i="22" s="1"/>
  <c r="K369" i="22"/>
  <c r="L369" i="22" s="1"/>
  <c r="K361" i="22"/>
  <c r="L361" i="22" s="1"/>
  <c r="K353" i="22"/>
  <c r="L353" i="22" s="1"/>
  <c r="K336" i="22"/>
  <c r="L336" i="22" s="1"/>
  <c r="K328" i="22"/>
  <c r="L328" i="22" s="1"/>
  <c r="K316" i="22"/>
  <c r="L316" i="22" s="1"/>
  <c r="K297" i="22"/>
  <c r="L297" i="22" s="1"/>
  <c r="K34" i="4"/>
  <c r="L34" i="4" s="1"/>
  <c r="H34" i="22"/>
  <c r="K34" i="22" s="1"/>
  <c r="L34" i="22" s="1"/>
  <c r="K488" i="22"/>
  <c r="L488" i="22" s="1"/>
  <c r="K479" i="22"/>
  <c r="L479" i="22" s="1"/>
  <c r="K470" i="22"/>
  <c r="L470" i="22" s="1"/>
  <c r="K462" i="22"/>
  <c r="L462" i="22" s="1"/>
  <c r="K454" i="22"/>
  <c r="L454" i="22" s="1"/>
  <c r="K446" i="22"/>
  <c r="L446" i="22" s="1"/>
  <c r="K438" i="22"/>
  <c r="L438" i="22" s="1"/>
  <c r="K382" i="22"/>
  <c r="L382" i="22" s="1"/>
  <c r="K374" i="22"/>
  <c r="L374" i="22" s="1"/>
  <c r="K366" i="22"/>
  <c r="L366" i="22" s="1"/>
  <c r="K358" i="22"/>
  <c r="L358" i="22" s="1"/>
  <c r="K350" i="22"/>
  <c r="L350" i="22" s="1"/>
  <c r="K305" i="22"/>
  <c r="L305" i="22" s="1"/>
  <c r="K302" i="22"/>
  <c r="L302" i="22" s="1"/>
  <c r="K260" i="22"/>
  <c r="L260" i="22" s="1"/>
  <c r="K313" i="4"/>
  <c r="L313" i="4" s="1"/>
  <c r="E313" i="22"/>
  <c r="K313" i="22" s="1"/>
  <c r="L313" i="22" s="1"/>
  <c r="H270" i="22"/>
  <c r="K34" i="15"/>
  <c r="L34" i="15" s="1"/>
  <c r="K477" i="4"/>
  <c r="L477" i="4" s="1"/>
  <c r="K424" i="4"/>
  <c r="L424" i="4" s="1"/>
  <c r="K408" i="4"/>
  <c r="L408" i="4" s="1"/>
  <c r="K460" i="4"/>
  <c r="L460" i="4" s="1"/>
  <c r="K450" i="4"/>
  <c r="L450" i="4" s="1"/>
  <c r="K469" i="4"/>
  <c r="L469" i="4" s="1"/>
  <c r="K405" i="4"/>
  <c r="L405" i="4" s="1"/>
  <c r="K394" i="4"/>
  <c r="L394" i="4" s="1"/>
  <c r="K468" i="4"/>
  <c r="L468" i="4" s="1"/>
  <c r="K437" i="4"/>
  <c r="L437" i="4" s="1"/>
  <c r="K461" i="4"/>
  <c r="L461" i="4" s="1"/>
  <c r="K453" i="4"/>
  <c r="L453" i="4" s="1"/>
  <c r="K466" i="4"/>
  <c r="L466" i="4" s="1"/>
  <c r="K452" i="4"/>
  <c r="L452" i="4" s="1"/>
  <c r="K427" i="4"/>
  <c r="L427" i="4" s="1"/>
  <c r="K387" i="4"/>
  <c r="L387" i="4" s="1"/>
  <c r="K388" i="4"/>
  <c r="L388" i="4" s="1"/>
  <c r="K350" i="4"/>
  <c r="L350" i="4" s="1"/>
  <c r="K352" i="4"/>
  <c r="L352" i="4" s="1"/>
  <c r="K363" i="4"/>
  <c r="L363" i="4" s="1"/>
  <c r="K373" i="4"/>
  <c r="L373" i="4" s="1"/>
  <c r="K362" i="4"/>
  <c r="L362" i="4" s="1"/>
  <c r="K365" i="4"/>
  <c r="L365" i="4" s="1"/>
  <c r="K371" i="4"/>
  <c r="L371" i="4" s="1"/>
  <c r="K349" i="4"/>
  <c r="L349" i="4" s="1"/>
  <c r="K381" i="4"/>
  <c r="L381" i="4" s="1"/>
  <c r="K370" i="4"/>
  <c r="L370" i="4" s="1"/>
  <c r="K354" i="4"/>
  <c r="L354" i="4" s="1"/>
  <c r="K316" i="4"/>
  <c r="L316" i="4" s="1"/>
  <c r="K300" i="4"/>
  <c r="L300" i="4" s="1"/>
  <c r="K307" i="4"/>
  <c r="L307" i="4" s="1"/>
  <c r="K299" i="4"/>
  <c r="L299" i="4" s="1"/>
  <c r="K330" i="4"/>
  <c r="L330" i="4" s="1"/>
  <c r="K327" i="4"/>
  <c r="L327" i="4" s="1"/>
  <c r="K329" i="4"/>
  <c r="L329" i="4" s="1"/>
  <c r="K277" i="4"/>
  <c r="L277" i="4" s="1"/>
  <c r="K290" i="4"/>
  <c r="L290" i="4" s="1"/>
  <c r="K259" i="4"/>
  <c r="L259" i="4" s="1"/>
  <c r="K280" i="4"/>
  <c r="L280" i="4" s="1"/>
  <c r="K274" i="4"/>
  <c r="L274" i="4" s="1"/>
  <c r="K282" i="4"/>
  <c r="L282" i="4" s="1"/>
  <c r="K213" i="4"/>
  <c r="L213" i="4" s="1"/>
  <c r="K254" i="4"/>
  <c r="L254" i="4" s="1"/>
  <c r="K216" i="4"/>
  <c r="L216" i="4" s="1"/>
  <c r="K197" i="4"/>
  <c r="L197" i="4" s="1"/>
  <c r="K251" i="4"/>
  <c r="L251" i="4" s="1"/>
  <c r="K218" i="4"/>
  <c r="L218" i="4" s="1"/>
  <c r="K199" i="4"/>
  <c r="L199" i="4" s="1"/>
  <c r="K224" i="4"/>
  <c r="L224" i="4" s="1"/>
  <c r="K200" i="4"/>
  <c r="L200" i="4" s="1"/>
  <c r="K180" i="4"/>
  <c r="L180" i="4" s="1"/>
  <c r="K183" i="4"/>
  <c r="L183" i="4" s="1"/>
  <c r="K181" i="4"/>
  <c r="L181" i="4" s="1"/>
  <c r="K155" i="4"/>
  <c r="L155" i="4" s="1"/>
  <c r="K164" i="4"/>
  <c r="L164" i="4" s="1"/>
  <c r="K167" i="4"/>
  <c r="L167" i="4" s="1"/>
  <c r="K171" i="4"/>
  <c r="L171" i="4" s="1"/>
  <c r="K139" i="4"/>
  <c r="L139" i="4" s="1"/>
  <c r="K135" i="4"/>
  <c r="L135" i="4" s="1"/>
  <c r="K120" i="4"/>
  <c r="L120" i="4" s="1"/>
  <c r="K110" i="4"/>
  <c r="L110" i="4" s="1"/>
  <c r="K118" i="4"/>
  <c r="L118" i="4" s="1"/>
  <c r="K115" i="4"/>
  <c r="L115" i="4" s="1"/>
  <c r="K119" i="4"/>
  <c r="L119" i="4" s="1"/>
  <c r="K104" i="4"/>
  <c r="L104" i="4" s="1"/>
  <c r="K96" i="4"/>
  <c r="L96" i="4" s="1"/>
  <c r="K91" i="4"/>
  <c r="L91" i="4" s="1"/>
  <c r="K72" i="4"/>
  <c r="L72" i="4" s="1"/>
  <c r="K70" i="4"/>
  <c r="L70" i="4" s="1"/>
  <c r="K94" i="4"/>
  <c r="L94" i="4" s="1"/>
  <c r="K74" i="4"/>
  <c r="L74" i="4" s="1"/>
  <c r="K88" i="4"/>
  <c r="L88" i="4" s="1"/>
  <c r="K62" i="4"/>
  <c r="L62" i="4" s="1"/>
  <c r="K64" i="4"/>
  <c r="L64" i="4" s="1"/>
  <c r="K36" i="4"/>
  <c r="L36" i="4" s="1"/>
  <c r="K37" i="4"/>
  <c r="L37" i="4" s="1"/>
  <c r="K488" i="15"/>
  <c r="L488" i="15" s="1"/>
  <c r="K399" i="15"/>
  <c r="L399" i="15" s="1"/>
  <c r="K446" i="15"/>
  <c r="L446" i="15" s="1"/>
  <c r="K422" i="15"/>
  <c r="L422" i="15" s="1"/>
  <c r="K420" i="15"/>
  <c r="L420" i="15" s="1"/>
  <c r="K417" i="15"/>
  <c r="L417" i="15" s="1"/>
  <c r="K448" i="15"/>
  <c r="L448" i="15" s="1"/>
  <c r="K443" i="15"/>
  <c r="L443" i="15" s="1"/>
  <c r="K428" i="15"/>
  <c r="L428" i="15" s="1"/>
  <c r="K416" i="15"/>
  <c r="L416" i="15" s="1"/>
  <c r="K435" i="15"/>
  <c r="L435" i="15" s="1"/>
  <c r="K427" i="15"/>
  <c r="L427" i="15" s="1"/>
  <c r="K464" i="15"/>
  <c r="L464" i="15" s="1"/>
  <c r="K419" i="15"/>
  <c r="L419" i="15" s="1"/>
  <c r="K411" i="15"/>
  <c r="L411" i="15" s="1"/>
  <c r="K395" i="15"/>
  <c r="L395" i="15" s="1"/>
  <c r="K459" i="15"/>
  <c r="L459" i="15" s="1"/>
  <c r="K403" i="15"/>
  <c r="L403" i="15" s="1"/>
  <c r="K432" i="15"/>
  <c r="L432" i="15" s="1"/>
  <c r="K387" i="15"/>
  <c r="L387" i="15" s="1"/>
  <c r="K359" i="15"/>
  <c r="L359" i="15" s="1"/>
  <c r="K381" i="15"/>
  <c r="L381" i="15" s="1"/>
  <c r="K378" i="15"/>
  <c r="L378" i="15" s="1"/>
  <c r="K362" i="15"/>
  <c r="L362" i="15" s="1"/>
  <c r="K355" i="15"/>
  <c r="L355" i="15" s="1"/>
  <c r="K343" i="15"/>
  <c r="L343" i="15" s="1"/>
  <c r="K354" i="15"/>
  <c r="L354" i="15" s="1"/>
  <c r="K317" i="15"/>
  <c r="L317" i="15" s="1"/>
  <c r="K309" i="15"/>
  <c r="L309" i="15" s="1"/>
  <c r="K307" i="15"/>
  <c r="L307" i="15" s="1"/>
  <c r="K328" i="15"/>
  <c r="L328" i="15" s="1"/>
  <c r="K334" i="15"/>
  <c r="L334" i="15" s="1"/>
  <c r="K299" i="15"/>
  <c r="L299" i="15" s="1"/>
  <c r="K290" i="15"/>
  <c r="L290" i="15" s="1"/>
  <c r="K263" i="15"/>
  <c r="L263" i="15" s="1"/>
  <c r="K243" i="15"/>
  <c r="L243" i="15" s="1"/>
  <c r="K219" i="15"/>
  <c r="L219" i="15" s="1"/>
  <c r="K226" i="15"/>
  <c r="L226" i="15" s="1"/>
  <c r="K224" i="15"/>
  <c r="L224" i="15" s="1"/>
  <c r="K208" i="15"/>
  <c r="L208" i="15" s="1"/>
  <c r="K215" i="15"/>
  <c r="L215" i="15" s="1"/>
  <c r="K231" i="15"/>
  <c r="L231" i="15" s="1"/>
  <c r="K237" i="15"/>
  <c r="L237" i="15" s="1"/>
  <c r="K199" i="15"/>
  <c r="L199" i="15" s="1"/>
  <c r="K205" i="15"/>
  <c r="L205" i="15" s="1"/>
  <c r="K197" i="15"/>
  <c r="L197" i="15" s="1"/>
  <c r="K189" i="15"/>
  <c r="L189" i="15" s="1"/>
  <c r="K181" i="15"/>
  <c r="L181" i="15" s="1"/>
  <c r="K173" i="15"/>
  <c r="L173" i="15" s="1"/>
  <c r="K188" i="15"/>
  <c r="L188" i="15" s="1"/>
  <c r="K183" i="15"/>
  <c r="L183" i="15" s="1"/>
  <c r="K175" i="15"/>
  <c r="L175" i="15" s="1"/>
  <c r="K168" i="15"/>
  <c r="L168" i="15" s="1"/>
  <c r="K160" i="15"/>
  <c r="L160" i="15" s="1"/>
  <c r="K149" i="15"/>
  <c r="L149" i="15" s="1"/>
  <c r="K115" i="15"/>
  <c r="L115" i="15" s="1"/>
  <c r="K114" i="15"/>
  <c r="L114" i="15" s="1"/>
  <c r="K107" i="15"/>
  <c r="L107" i="15" s="1"/>
  <c r="K106" i="15"/>
  <c r="L106" i="15" s="1"/>
  <c r="K74" i="15"/>
  <c r="L74" i="15" s="1"/>
  <c r="K66" i="15"/>
  <c r="L66" i="15" s="1"/>
  <c r="K57" i="15"/>
  <c r="L57" i="15" s="1"/>
  <c r="K50" i="15"/>
  <c r="L50" i="15" s="1"/>
  <c r="K30" i="15"/>
  <c r="L30" i="15" s="1"/>
  <c r="K31" i="15"/>
  <c r="L31" i="15" s="1"/>
  <c r="H463" i="15"/>
  <c r="H436" i="15"/>
  <c r="H430" i="15"/>
  <c r="H423" i="15"/>
  <c r="H414" i="15"/>
  <c r="H412" i="15"/>
  <c r="H345" i="15"/>
  <c r="H341" i="15" s="1"/>
  <c r="H345" i="17"/>
  <c r="H304" i="15"/>
  <c r="K257" i="15"/>
  <c r="L257" i="15" s="1"/>
  <c r="H435" i="17"/>
  <c r="H408" i="17"/>
  <c r="H423" i="17"/>
  <c r="H414" i="17"/>
  <c r="H363" i="17"/>
  <c r="K363" i="17" s="1"/>
  <c r="L363" i="17" s="1"/>
  <c r="K266" i="17"/>
  <c r="L266" i="17" s="1"/>
  <c r="I486" i="17"/>
  <c r="I480" i="17"/>
  <c r="I474" i="17"/>
  <c r="I386" i="17"/>
  <c r="I293" i="17"/>
  <c r="I256" i="17"/>
  <c r="I194" i="17"/>
  <c r="I127" i="17"/>
  <c r="I133" i="17"/>
  <c r="I136" i="17"/>
  <c r="I143" i="17"/>
  <c r="I147" i="17"/>
  <c r="I151" i="17"/>
  <c r="I44" i="17"/>
  <c r="I47" i="17"/>
  <c r="I52" i="17"/>
  <c r="I59" i="17"/>
  <c r="I65" i="17"/>
  <c r="I102" i="17"/>
  <c r="I32" i="17"/>
  <c r="I29" i="17"/>
  <c r="I14" i="17"/>
  <c r="I5" i="17"/>
  <c r="G270" i="22"/>
  <c r="H304" i="17"/>
  <c r="H254" i="17"/>
  <c r="H257" i="17"/>
  <c r="K257" i="17" s="1"/>
  <c r="L257" i="17" s="1"/>
  <c r="H497" i="17"/>
  <c r="I496" i="17"/>
  <c r="I495" i="17"/>
  <c r="H494" i="17"/>
  <c r="H486" i="17"/>
  <c r="H483" i="17"/>
  <c r="H480" i="17"/>
  <c r="H474" i="17"/>
  <c r="H386" i="17"/>
  <c r="H172" i="17"/>
  <c r="H191" i="17" s="1"/>
  <c r="H147" i="17"/>
  <c r="H143" i="17"/>
  <c r="H136" i="17"/>
  <c r="H133" i="17"/>
  <c r="H102" i="17"/>
  <c r="H65" i="17"/>
  <c r="H59" i="17"/>
  <c r="H52" i="17"/>
  <c r="H47" i="17"/>
  <c r="H44" i="17"/>
  <c r="H32" i="17"/>
  <c r="H29" i="17"/>
  <c r="H14" i="17"/>
  <c r="F14" i="22"/>
  <c r="H5" i="17"/>
  <c r="K30" i="4"/>
  <c r="L30" i="4" s="1"/>
  <c r="K31" i="4"/>
  <c r="L31" i="4" s="1"/>
  <c r="K35" i="4"/>
  <c r="L35" i="4" s="1"/>
  <c r="K38" i="4"/>
  <c r="L38" i="4" s="1"/>
  <c r="I44" i="4"/>
  <c r="K46" i="4"/>
  <c r="L46" i="4" s="1"/>
  <c r="K49" i="4"/>
  <c r="L49" i="4" s="1"/>
  <c r="K50" i="4"/>
  <c r="L50" i="4" s="1"/>
  <c r="K51" i="4"/>
  <c r="L51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61" i="4"/>
  <c r="L61" i="4" s="1"/>
  <c r="K63" i="4"/>
  <c r="L63" i="4" s="1"/>
  <c r="K67" i="4"/>
  <c r="L67" i="4" s="1"/>
  <c r="K68" i="4"/>
  <c r="L68" i="4" s="1"/>
  <c r="K69" i="4"/>
  <c r="L69" i="4" s="1"/>
  <c r="K71" i="4"/>
  <c r="L71" i="4" s="1"/>
  <c r="K73" i="4"/>
  <c r="L73" i="4" s="1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9" i="4"/>
  <c r="L89" i="4" s="1"/>
  <c r="K90" i="4"/>
  <c r="L90" i="4" s="1"/>
  <c r="K92" i="4"/>
  <c r="L92" i="4" s="1"/>
  <c r="K93" i="4"/>
  <c r="L93" i="4" s="1"/>
  <c r="K95" i="4"/>
  <c r="L95" i="4" s="1"/>
  <c r="K103" i="4"/>
  <c r="L103" i="4" s="1"/>
  <c r="K105" i="4"/>
  <c r="L105" i="4" s="1"/>
  <c r="K106" i="4"/>
  <c r="L106" i="4" s="1"/>
  <c r="K107" i="4"/>
  <c r="L107" i="4" s="1"/>
  <c r="K108" i="4"/>
  <c r="L108" i="4" s="1"/>
  <c r="K109" i="4"/>
  <c r="L109" i="4" s="1"/>
  <c r="K111" i="4"/>
  <c r="L111" i="4" s="1"/>
  <c r="K112" i="4"/>
  <c r="L112" i="4" s="1"/>
  <c r="K113" i="4"/>
  <c r="L113" i="4" s="1"/>
  <c r="K114" i="4"/>
  <c r="L114" i="4" s="1"/>
  <c r="K116" i="4"/>
  <c r="L116" i="4" s="1"/>
  <c r="K117" i="4"/>
  <c r="L117" i="4" s="1"/>
  <c r="K121" i="4"/>
  <c r="L121" i="4" s="1"/>
  <c r="I127" i="4"/>
  <c r="K129" i="4"/>
  <c r="L129" i="4" s="1"/>
  <c r="I133" i="4"/>
  <c r="K138" i="4"/>
  <c r="L138" i="4" s="1"/>
  <c r="K140" i="4"/>
  <c r="L140" i="4" s="1"/>
  <c r="K141" i="4"/>
  <c r="L141" i="4" s="1"/>
  <c r="K142" i="4"/>
  <c r="L142" i="4" s="1"/>
  <c r="I143" i="4"/>
  <c r="K145" i="4"/>
  <c r="L145" i="4" s="1"/>
  <c r="K149" i="4"/>
  <c r="L149" i="4" s="1"/>
  <c r="K150" i="4"/>
  <c r="L150" i="4" s="1"/>
  <c r="K153" i="4"/>
  <c r="L153" i="4" s="1"/>
  <c r="K154" i="4"/>
  <c r="L154" i="4" s="1"/>
  <c r="K156" i="4"/>
  <c r="L156" i="4" s="1"/>
  <c r="K157" i="4"/>
  <c r="L157" i="4" s="1"/>
  <c r="K158" i="4"/>
  <c r="L158" i="4" s="1"/>
  <c r="K159" i="4"/>
  <c r="L159" i="4" s="1"/>
  <c r="K160" i="4"/>
  <c r="L160" i="4" s="1"/>
  <c r="K161" i="4"/>
  <c r="L161" i="4" s="1"/>
  <c r="K162" i="4"/>
  <c r="L162" i="4" s="1"/>
  <c r="K163" i="4"/>
  <c r="L163" i="4" s="1"/>
  <c r="K165" i="4"/>
  <c r="L165" i="4" s="1"/>
  <c r="K166" i="4"/>
  <c r="L166" i="4" s="1"/>
  <c r="K168" i="4"/>
  <c r="L168" i="4" s="1"/>
  <c r="K169" i="4"/>
  <c r="L169" i="4" s="1"/>
  <c r="K170" i="4"/>
  <c r="L170" i="4" s="1"/>
  <c r="K174" i="4"/>
  <c r="L174" i="4" s="1"/>
  <c r="K175" i="4"/>
  <c r="L175" i="4" s="1"/>
  <c r="K176" i="4"/>
  <c r="L176" i="4" s="1"/>
  <c r="K177" i="4"/>
  <c r="L177" i="4" s="1"/>
  <c r="K178" i="4"/>
  <c r="L178" i="4" s="1"/>
  <c r="K179" i="4"/>
  <c r="L179" i="4" s="1"/>
  <c r="K182" i="4"/>
  <c r="L182" i="4" s="1"/>
  <c r="K184" i="4"/>
  <c r="L184" i="4" s="1"/>
  <c r="K185" i="4"/>
  <c r="L185" i="4" s="1"/>
  <c r="K186" i="4"/>
  <c r="L186" i="4" s="1"/>
  <c r="K187" i="4"/>
  <c r="L187" i="4" s="1"/>
  <c r="K188" i="4"/>
  <c r="L188" i="4" s="1"/>
  <c r="K189" i="4"/>
  <c r="L189" i="4" s="1"/>
  <c r="K190" i="4"/>
  <c r="L190" i="4" s="1"/>
  <c r="K195" i="4"/>
  <c r="L195" i="4" s="1"/>
  <c r="K196" i="4"/>
  <c r="L196" i="4" s="1"/>
  <c r="K198" i="4"/>
  <c r="L198" i="4" s="1"/>
  <c r="K201" i="4"/>
  <c r="L201" i="4" s="1"/>
  <c r="K202" i="4"/>
  <c r="L202" i="4" s="1"/>
  <c r="K203" i="4"/>
  <c r="L203" i="4" s="1"/>
  <c r="K204" i="4"/>
  <c r="L204" i="4" s="1"/>
  <c r="K205" i="4"/>
  <c r="L205" i="4" s="1"/>
  <c r="K206" i="4"/>
  <c r="L206" i="4" s="1"/>
  <c r="K207" i="4"/>
  <c r="L207" i="4" s="1"/>
  <c r="K208" i="4"/>
  <c r="L208" i="4" s="1"/>
  <c r="K209" i="4"/>
  <c r="L209" i="4" s="1"/>
  <c r="K210" i="4"/>
  <c r="L210" i="4" s="1"/>
  <c r="K211" i="4"/>
  <c r="L211" i="4" s="1"/>
  <c r="K212" i="4"/>
  <c r="L212" i="4" s="1"/>
  <c r="K214" i="4"/>
  <c r="L214" i="4" s="1"/>
  <c r="K215" i="4"/>
  <c r="L215" i="4" s="1"/>
  <c r="K217" i="4"/>
  <c r="L217" i="4" s="1"/>
  <c r="K219" i="4"/>
  <c r="L219" i="4" s="1"/>
  <c r="K220" i="4"/>
  <c r="L220" i="4" s="1"/>
  <c r="K221" i="4"/>
  <c r="L221" i="4" s="1"/>
  <c r="K222" i="4"/>
  <c r="L222" i="4" s="1"/>
  <c r="K223" i="4"/>
  <c r="L223" i="4" s="1"/>
  <c r="K225" i="4"/>
  <c r="L225" i="4" s="1"/>
  <c r="K226" i="4"/>
  <c r="L226" i="4" s="1"/>
  <c r="K227" i="4"/>
  <c r="L227" i="4" s="1"/>
  <c r="K228" i="4"/>
  <c r="L228" i="4" s="1"/>
  <c r="K229" i="4"/>
  <c r="L229" i="4" s="1"/>
  <c r="K230" i="4"/>
  <c r="L230" i="4" s="1"/>
  <c r="K231" i="4"/>
  <c r="L231" i="4" s="1"/>
  <c r="K232" i="4"/>
  <c r="L232" i="4" s="1"/>
  <c r="K233" i="4"/>
  <c r="L233" i="4" s="1"/>
  <c r="K234" i="4"/>
  <c r="L234" i="4" s="1"/>
  <c r="K235" i="4"/>
  <c r="L235" i="4" s="1"/>
  <c r="K236" i="4"/>
  <c r="L236" i="4" s="1"/>
  <c r="K237" i="4"/>
  <c r="L237" i="4" s="1"/>
  <c r="K238" i="4"/>
  <c r="L238" i="4" s="1"/>
  <c r="K240" i="4"/>
  <c r="L240" i="4" s="1"/>
  <c r="K241" i="4"/>
  <c r="L241" i="4" s="1"/>
  <c r="K242" i="4"/>
  <c r="L242" i="4" s="1"/>
  <c r="K243" i="4"/>
  <c r="L243" i="4" s="1"/>
  <c r="K244" i="4"/>
  <c r="L244" i="4" s="1"/>
  <c r="K245" i="4"/>
  <c r="L245" i="4" s="1"/>
  <c r="K246" i="4"/>
  <c r="L246" i="4" s="1"/>
  <c r="K247" i="4"/>
  <c r="L247" i="4" s="1"/>
  <c r="K248" i="4"/>
  <c r="L248" i="4" s="1"/>
  <c r="K249" i="4"/>
  <c r="L249" i="4" s="1"/>
  <c r="K250" i="4"/>
  <c r="L250" i="4" s="1"/>
  <c r="K252" i="4"/>
  <c r="L252" i="4" s="1"/>
  <c r="K253" i="4"/>
  <c r="L253" i="4" s="1"/>
  <c r="K255" i="4"/>
  <c r="L255" i="4" s="1"/>
  <c r="K258" i="4"/>
  <c r="L258" i="4" s="1"/>
  <c r="K260" i="4"/>
  <c r="L260" i="4" s="1"/>
  <c r="K262" i="4"/>
  <c r="L262" i="4" s="1"/>
  <c r="K263" i="4"/>
  <c r="L263" i="4" s="1"/>
  <c r="K264" i="4"/>
  <c r="L264" i="4" s="1"/>
  <c r="K267" i="4"/>
  <c r="L267" i="4" s="1"/>
  <c r="K268" i="4"/>
  <c r="L268" i="4" s="1"/>
  <c r="K269" i="4"/>
  <c r="L269" i="4" s="1"/>
  <c r="K272" i="4"/>
  <c r="L272" i="4" s="1"/>
  <c r="K273" i="4"/>
  <c r="L273" i="4" s="1"/>
  <c r="K275" i="4"/>
  <c r="L275" i="4" s="1"/>
  <c r="K276" i="4"/>
  <c r="L276" i="4" s="1"/>
  <c r="K278" i="4"/>
  <c r="L278" i="4" s="1"/>
  <c r="K279" i="4"/>
  <c r="L279" i="4" s="1"/>
  <c r="K281" i="4"/>
  <c r="L281" i="4" s="1"/>
  <c r="K283" i="4"/>
  <c r="L283" i="4" s="1"/>
  <c r="K284" i="4"/>
  <c r="L284" i="4" s="1"/>
  <c r="K285" i="4"/>
  <c r="L285" i="4" s="1"/>
  <c r="K286" i="4"/>
  <c r="L286" i="4" s="1"/>
  <c r="K287" i="4"/>
  <c r="L287" i="4" s="1"/>
  <c r="K288" i="4"/>
  <c r="L288" i="4" s="1"/>
  <c r="K289" i="4"/>
  <c r="L289" i="4" s="1"/>
  <c r="K291" i="4"/>
  <c r="L291" i="4" s="1"/>
  <c r="K295" i="4"/>
  <c r="L295" i="4" s="1"/>
  <c r="K296" i="4"/>
  <c r="L296" i="4" s="1"/>
  <c r="K297" i="4"/>
  <c r="L297" i="4" s="1"/>
  <c r="K298" i="4"/>
  <c r="L298" i="4" s="1"/>
  <c r="K301" i="4"/>
  <c r="L301" i="4" s="1"/>
  <c r="K302" i="4"/>
  <c r="L302" i="4" s="1"/>
  <c r="K303" i="4"/>
  <c r="L303" i="4" s="1"/>
  <c r="K305" i="4"/>
  <c r="L305" i="4" s="1"/>
  <c r="K306" i="4"/>
  <c r="L306" i="4" s="1"/>
  <c r="K308" i="4"/>
  <c r="L308" i="4" s="1"/>
  <c r="K309" i="4"/>
  <c r="L309" i="4" s="1"/>
  <c r="K310" i="4"/>
  <c r="L310" i="4" s="1"/>
  <c r="K311" i="4"/>
  <c r="L311" i="4" s="1"/>
  <c r="K312" i="4"/>
  <c r="L312" i="4" s="1"/>
  <c r="K317" i="4"/>
  <c r="L317" i="4" s="1"/>
  <c r="K320" i="4"/>
  <c r="L320" i="4" s="1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8" i="4"/>
  <c r="L328" i="4" s="1"/>
  <c r="K331" i="4"/>
  <c r="L331" i="4" s="1"/>
  <c r="K332" i="4"/>
  <c r="L332" i="4" s="1"/>
  <c r="K333" i="4"/>
  <c r="L333" i="4" s="1"/>
  <c r="K334" i="4"/>
  <c r="L334" i="4" s="1"/>
  <c r="K336" i="4"/>
  <c r="L336" i="4" s="1"/>
  <c r="K337" i="4"/>
  <c r="L337" i="4" s="1"/>
  <c r="K342" i="4"/>
  <c r="L342" i="4" s="1"/>
  <c r="K343" i="4"/>
  <c r="L343" i="4" s="1"/>
  <c r="K344" i="4"/>
  <c r="L344" i="4" s="1"/>
  <c r="K345" i="4"/>
  <c r="L345" i="4" s="1"/>
  <c r="K346" i="4"/>
  <c r="L346" i="4" s="1"/>
  <c r="K347" i="4"/>
  <c r="L347" i="4" s="1"/>
  <c r="K348" i="4"/>
  <c r="L348" i="4" s="1"/>
  <c r="K351" i="4"/>
  <c r="L351" i="4" s="1"/>
  <c r="K353" i="4"/>
  <c r="L353" i="4" s="1"/>
  <c r="K355" i="4"/>
  <c r="L355" i="4" s="1"/>
  <c r="K356" i="4"/>
  <c r="L356" i="4" s="1"/>
  <c r="K357" i="4"/>
  <c r="L357" i="4" s="1"/>
  <c r="K358" i="4"/>
  <c r="L358" i="4" s="1"/>
  <c r="K359" i="4"/>
  <c r="L359" i="4" s="1"/>
  <c r="K360" i="4"/>
  <c r="L360" i="4" s="1"/>
  <c r="K361" i="4"/>
  <c r="L361" i="4" s="1"/>
  <c r="K364" i="4"/>
  <c r="L364" i="4" s="1"/>
  <c r="K366" i="4"/>
  <c r="L366" i="4" s="1"/>
  <c r="K367" i="4"/>
  <c r="L367" i="4" s="1"/>
  <c r="K368" i="4"/>
  <c r="L368" i="4" s="1"/>
  <c r="K369" i="4"/>
  <c r="L369" i="4" s="1"/>
  <c r="K372" i="4"/>
  <c r="L372" i="4" s="1"/>
  <c r="K374" i="4"/>
  <c r="L374" i="4" s="1"/>
  <c r="K375" i="4"/>
  <c r="L375" i="4" s="1"/>
  <c r="K376" i="4"/>
  <c r="L376" i="4" s="1"/>
  <c r="K377" i="4"/>
  <c r="L377" i="4" s="1"/>
  <c r="K378" i="4"/>
  <c r="L378" i="4" s="1"/>
  <c r="K379" i="4"/>
  <c r="L379" i="4" s="1"/>
  <c r="K380" i="4"/>
  <c r="L380" i="4" s="1"/>
  <c r="K382" i="4"/>
  <c r="L382" i="4" s="1"/>
  <c r="K383" i="4"/>
  <c r="L383" i="4" s="1"/>
  <c r="K384" i="4"/>
  <c r="L384" i="4" s="1"/>
  <c r="K385" i="4"/>
  <c r="L385" i="4" s="1"/>
  <c r="K389" i="4"/>
  <c r="L389" i="4" s="1"/>
  <c r="K390" i="4"/>
  <c r="L390" i="4" s="1"/>
  <c r="K395" i="4"/>
  <c r="L395" i="4" s="1"/>
  <c r="K396" i="4"/>
  <c r="L396" i="4" s="1"/>
  <c r="K397" i="4"/>
  <c r="L397" i="4" s="1"/>
  <c r="K398" i="4"/>
  <c r="L398" i="4" s="1"/>
  <c r="K399" i="4"/>
  <c r="L399" i="4" s="1"/>
  <c r="K400" i="4"/>
  <c r="L400" i="4" s="1"/>
  <c r="K401" i="4"/>
  <c r="L401" i="4" s="1"/>
  <c r="K402" i="4"/>
  <c r="L402" i="4" s="1"/>
  <c r="K403" i="4"/>
  <c r="L403" i="4" s="1"/>
  <c r="K404" i="4"/>
  <c r="L404" i="4" s="1"/>
  <c r="K406" i="4"/>
  <c r="L406" i="4" s="1"/>
  <c r="K407" i="4"/>
  <c r="L407" i="4" s="1"/>
  <c r="K409" i="4"/>
  <c r="L409" i="4" s="1"/>
  <c r="K410" i="4"/>
  <c r="L410" i="4" s="1"/>
  <c r="K411" i="4"/>
  <c r="L411" i="4" s="1"/>
  <c r="K412" i="4"/>
  <c r="L412" i="4" s="1"/>
  <c r="K415" i="4"/>
  <c r="L415" i="4" s="1"/>
  <c r="K416" i="4"/>
  <c r="L416" i="4" s="1"/>
  <c r="K417" i="4"/>
  <c r="L417" i="4" s="1"/>
  <c r="K418" i="4"/>
  <c r="L418" i="4" s="1"/>
  <c r="K420" i="4"/>
  <c r="L420" i="4" s="1"/>
  <c r="K421" i="4"/>
  <c r="L421" i="4" s="1"/>
  <c r="K423" i="4"/>
  <c r="L423" i="4" s="1"/>
  <c r="K425" i="4"/>
  <c r="L425" i="4" s="1"/>
  <c r="K428" i="4"/>
  <c r="L428" i="4" s="1"/>
  <c r="K429" i="4"/>
  <c r="L429" i="4" s="1"/>
  <c r="K431" i="4"/>
  <c r="L431" i="4" s="1"/>
  <c r="K432" i="4"/>
  <c r="L432" i="4" s="1"/>
  <c r="K433" i="4"/>
  <c r="L433" i="4" s="1"/>
  <c r="K434" i="4"/>
  <c r="L434" i="4" s="1"/>
  <c r="K436" i="4"/>
  <c r="L436" i="4" s="1"/>
  <c r="K438" i="4"/>
  <c r="L438" i="4" s="1"/>
  <c r="K439" i="4"/>
  <c r="L439" i="4" s="1"/>
  <c r="K440" i="4"/>
  <c r="L440" i="4" s="1"/>
  <c r="K441" i="4"/>
  <c r="L441" i="4" s="1"/>
  <c r="K442" i="4"/>
  <c r="L442" i="4" s="1"/>
  <c r="K443" i="4"/>
  <c r="L443" i="4" s="1"/>
  <c r="K444" i="4"/>
  <c r="L444" i="4" s="1"/>
  <c r="K445" i="4"/>
  <c r="L445" i="4" s="1"/>
  <c r="K446" i="4"/>
  <c r="L446" i="4" s="1"/>
  <c r="K447" i="4"/>
  <c r="L447" i="4" s="1"/>
  <c r="K448" i="4"/>
  <c r="L448" i="4" s="1"/>
  <c r="K449" i="4"/>
  <c r="L449" i="4" s="1"/>
  <c r="K451" i="4"/>
  <c r="L451" i="4" s="1"/>
  <c r="K454" i="4"/>
  <c r="L454" i="4" s="1"/>
  <c r="K455" i="4"/>
  <c r="L455" i="4" s="1"/>
  <c r="K456" i="4"/>
  <c r="L456" i="4" s="1"/>
  <c r="K457" i="4"/>
  <c r="L457" i="4" s="1"/>
  <c r="K458" i="4"/>
  <c r="L458" i="4" s="1"/>
  <c r="K459" i="4"/>
  <c r="L459" i="4" s="1"/>
  <c r="K462" i="4"/>
  <c r="L462" i="4" s="1"/>
  <c r="K463" i="4"/>
  <c r="L463" i="4" s="1"/>
  <c r="K464" i="4"/>
  <c r="L464" i="4" s="1"/>
  <c r="K465" i="4"/>
  <c r="L465" i="4" s="1"/>
  <c r="K467" i="4"/>
  <c r="L467" i="4" s="1"/>
  <c r="K470" i="4"/>
  <c r="L470" i="4" s="1"/>
  <c r="K476" i="4"/>
  <c r="L476" i="4" s="1"/>
  <c r="K478" i="4"/>
  <c r="L478" i="4" s="1"/>
  <c r="K479" i="4"/>
  <c r="L479" i="4" s="1"/>
  <c r="K482" i="4"/>
  <c r="L482" i="4" s="1"/>
  <c r="K485" i="4"/>
  <c r="L485" i="4" s="1"/>
  <c r="K488" i="4"/>
  <c r="L488" i="4" s="1"/>
  <c r="K489" i="4"/>
  <c r="L489" i="4" s="1"/>
  <c r="K490" i="4"/>
  <c r="L490" i="4" s="1"/>
  <c r="K491" i="4"/>
  <c r="L491" i="4" s="1"/>
  <c r="K492" i="4"/>
  <c r="L492" i="4" s="1"/>
  <c r="K496" i="4"/>
  <c r="L496" i="4" s="1"/>
  <c r="K129" i="15"/>
  <c r="L129" i="15" s="1"/>
  <c r="K134" i="15"/>
  <c r="L134" i="15" s="1"/>
  <c r="K135" i="15"/>
  <c r="L135" i="15" s="1"/>
  <c r="K137" i="15"/>
  <c r="L137" i="15" s="1"/>
  <c r="K138" i="15"/>
  <c r="L138" i="15" s="1"/>
  <c r="K139" i="15"/>
  <c r="L139" i="15" s="1"/>
  <c r="K140" i="15"/>
  <c r="L140" i="15" s="1"/>
  <c r="K141" i="15"/>
  <c r="L141" i="15" s="1"/>
  <c r="K142" i="15"/>
  <c r="L142" i="15" s="1"/>
  <c r="K144" i="15"/>
  <c r="L144" i="15" s="1"/>
  <c r="K145" i="15"/>
  <c r="L145" i="15" s="1"/>
  <c r="K148" i="15"/>
  <c r="L148" i="15" s="1"/>
  <c r="K150" i="15"/>
  <c r="L150" i="15" s="1"/>
  <c r="K152" i="15"/>
  <c r="L152" i="15" s="1"/>
  <c r="K153" i="15"/>
  <c r="L153" i="15" s="1"/>
  <c r="K154" i="15"/>
  <c r="L154" i="15" s="1"/>
  <c r="K155" i="15"/>
  <c r="L155" i="15" s="1"/>
  <c r="K156" i="15"/>
  <c r="L156" i="15" s="1"/>
  <c r="K157" i="15"/>
  <c r="L157" i="15" s="1"/>
  <c r="K158" i="15"/>
  <c r="L158" i="15" s="1"/>
  <c r="K159" i="15"/>
  <c r="L159" i="15" s="1"/>
  <c r="K161" i="15"/>
  <c r="L161" i="15" s="1"/>
  <c r="K162" i="15"/>
  <c r="L162" i="15" s="1"/>
  <c r="K163" i="15"/>
  <c r="L163" i="15" s="1"/>
  <c r="K164" i="15"/>
  <c r="L164" i="15" s="1"/>
  <c r="K165" i="15"/>
  <c r="L165" i="15" s="1"/>
  <c r="K166" i="15"/>
  <c r="L166" i="15" s="1"/>
  <c r="K167" i="15"/>
  <c r="L167" i="15" s="1"/>
  <c r="K169" i="15"/>
  <c r="L169" i="15" s="1"/>
  <c r="K170" i="15"/>
  <c r="L170" i="15" s="1"/>
  <c r="K171" i="15"/>
  <c r="L171" i="15" s="1"/>
  <c r="K174" i="15"/>
  <c r="L174" i="15" s="1"/>
  <c r="K176" i="15"/>
  <c r="L176" i="15" s="1"/>
  <c r="K177" i="15"/>
  <c r="L177" i="15" s="1"/>
  <c r="K178" i="15"/>
  <c r="L178" i="15" s="1"/>
  <c r="K179" i="15"/>
  <c r="L179" i="15" s="1"/>
  <c r="K180" i="15"/>
  <c r="L180" i="15" s="1"/>
  <c r="K182" i="15"/>
  <c r="L182" i="15" s="1"/>
  <c r="K184" i="15"/>
  <c r="L184" i="15" s="1"/>
  <c r="K185" i="15"/>
  <c r="L185" i="15" s="1"/>
  <c r="K186" i="15"/>
  <c r="L186" i="15" s="1"/>
  <c r="K187" i="15"/>
  <c r="L187" i="15" s="1"/>
  <c r="K190" i="15"/>
  <c r="L190" i="15" s="1"/>
  <c r="K196" i="15"/>
  <c r="L196" i="15" s="1"/>
  <c r="K198" i="15"/>
  <c r="L198" i="15" s="1"/>
  <c r="K200" i="15"/>
  <c r="L200" i="15" s="1"/>
  <c r="K201" i="15"/>
  <c r="L201" i="15" s="1"/>
  <c r="K202" i="15"/>
  <c r="L202" i="15" s="1"/>
  <c r="K203" i="15"/>
  <c r="L203" i="15" s="1"/>
  <c r="K204" i="15"/>
  <c r="L204" i="15" s="1"/>
  <c r="K206" i="15"/>
  <c r="L206" i="15" s="1"/>
  <c r="K207" i="15"/>
  <c r="L207" i="15" s="1"/>
  <c r="K209" i="15"/>
  <c r="L209" i="15" s="1"/>
  <c r="K210" i="15"/>
  <c r="L210" i="15" s="1"/>
  <c r="K211" i="15"/>
  <c r="L211" i="15" s="1"/>
  <c r="K212" i="15"/>
  <c r="L212" i="15" s="1"/>
  <c r="K213" i="15"/>
  <c r="L213" i="15" s="1"/>
  <c r="K214" i="15"/>
  <c r="L214" i="15" s="1"/>
  <c r="K216" i="15"/>
  <c r="L216" i="15" s="1"/>
  <c r="K217" i="15"/>
  <c r="L217" i="15" s="1"/>
  <c r="K218" i="15"/>
  <c r="L218" i="15" s="1"/>
  <c r="K220" i="15"/>
  <c r="L220" i="15" s="1"/>
  <c r="K221" i="15"/>
  <c r="L221" i="15" s="1"/>
  <c r="K222" i="15"/>
  <c r="L222" i="15" s="1"/>
  <c r="K223" i="15"/>
  <c r="L223" i="15" s="1"/>
  <c r="K225" i="15"/>
  <c r="L225" i="15" s="1"/>
  <c r="K227" i="15"/>
  <c r="L227" i="15" s="1"/>
  <c r="K228" i="15"/>
  <c r="L228" i="15" s="1"/>
  <c r="K229" i="15"/>
  <c r="L229" i="15" s="1"/>
  <c r="K230" i="15"/>
  <c r="L230" i="15" s="1"/>
  <c r="K232" i="15"/>
  <c r="L232" i="15" s="1"/>
  <c r="K233" i="15"/>
  <c r="L233" i="15" s="1"/>
  <c r="K234" i="15"/>
  <c r="L234" i="15" s="1"/>
  <c r="K235" i="15"/>
  <c r="L235" i="15" s="1"/>
  <c r="K236" i="15"/>
  <c r="L236" i="15" s="1"/>
  <c r="K238" i="15"/>
  <c r="L238" i="15" s="1"/>
  <c r="K239" i="15"/>
  <c r="L239" i="15" s="1"/>
  <c r="K240" i="15"/>
  <c r="L240" i="15" s="1"/>
  <c r="K241" i="15"/>
  <c r="L241" i="15" s="1"/>
  <c r="K242" i="15"/>
  <c r="L242" i="15" s="1"/>
  <c r="K244" i="15"/>
  <c r="L244" i="15" s="1"/>
  <c r="K245" i="15"/>
  <c r="L245" i="15" s="1"/>
  <c r="K246" i="15"/>
  <c r="L246" i="15" s="1"/>
  <c r="K247" i="15"/>
  <c r="L247" i="15" s="1"/>
  <c r="K248" i="15"/>
  <c r="L248" i="15" s="1"/>
  <c r="K249" i="15"/>
  <c r="L249" i="15" s="1"/>
  <c r="K250" i="15"/>
  <c r="L250" i="15" s="1"/>
  <c r="K251" i="15"/>
  <c r="L251" i="15" s="1"/>
  <c r="K252" i="15"/>
  <c r="L252" i="15" s="1"/>
  <c r="K253" i="15"/>
  <c r="L253" i="15" s="1"/>
  <c r="K254" i="15"/>
  <c r="L254" i="15" s="1"/>
  <c r="K255" i="15"/>
  <c r="L255" i="15" s="1"/>
  <c r="K258" i="15"/>
  <c r="L258" i="15" s="1"/>
  <c r="K259" i="15"/>
  <c r="L259" i="15" s="1"/>
  <c r="K260" i="15"/>
  <c r="L260" i="15" s="1"/>
  <c r="K261" i="15"/>
  <c r="L261" i="15" s="1"/>
  <c r="K262" i="15"/>
  <c r="L262" i="15" s="1"/>
  <c r="K264" i="15"/>
  <c r="L264" i="15" s="1"/>
  <c r="K267" i="15"/>
  <c r="L267" i="15" s="1"/>
  <c r="K268" i="15"/>
  <c r="L268" i="15" s="1"/>
  <c r="K269" i="15"/>
  <c r="L269" i="15" s="1"/>
  <c r="K272" i="15"/>
  <c r="L272" i="15" s="1"/>
  <c r="K273" i="15"/>
  <c r="L273" i="15" s="1"/>
  <c r="K274" i="15"/>
  <c r="L274" i="15" s="1"/>
  <c r="K275" i="15"/>
  <c r="L275" i="15" s="1"/>
  <c r="K276" i="15"/>
  <c r="L276" i="15" s="1"/>
  <c r="K277" i="15"/>
  <c r="L277" i="15" s="1"/>
  <c r="K278" i="15"/>
  <c r="L278" i="15" s="1"/>
  <c r="K279" i="15"/>
  <c r="L279" i="15" s="1"/>
  <c r="K280" i="15"/>
  <c r="L280" i="15" s="1"/>
  <c r="K281" i="15"/>
  <c r="L281" i="15" s="1"/>
  <c r="K282" i="15"/>
  <c r="L282" i="15" s="1"/>
  <c r="K283" i="15"/>
  <c r="L283" i="15" s="1"/>
  <c r="K284" i="15"/>
  <c r="L284" i="15" s="1"/>
  <c r="K285" i="15"/>
  <c r="L285" i="15" s="1"/>
  <c r="K286" i="15"/>
  <c r="L286" i="15" s="1"/>
  <c r="K287" i="15"/>
  <c r="L287" i="15" s="1"/>
  <c r="K288" i="15"/>
  <c r="L288" i="15" s="1"/>
  <c r="K289" i="15"/>
  <c r="L289" i="15" s="1"/>
  <c r="K291" i="15"/>
  <c r="L291" i="15" s="1"/>
  <c r="K295" i="15"/>
  <c r="L295" i="15" s="1"/>
  <c r="K296" i="15"/>
  <c r="L296" i="15" s="1"/>
  <c r="K297" i="15"/>
  <c r="L297" i="15" s="1"/>
  <c r="K298" i="15"/>
  <c r="L298" i="15" s="1"/>
  <c r="K300" i="15"/>
  <c r="L300" i="15" s="1"/>
  <c r="K301" i="15"/>
  <c r="L301" i="15" s="1"/>
  <c r="K302" i="15"/>
  <c r="L302" i="15" s="1"/>
  <c r="K303" i="15"/>
  <c r="L303" i="15" s="1"/>
  <c r="K305" i="15"/>
  <c r="L305" i="15" s="1"/>
  <c r="K306" i="15"/>
  <c r="L306" i="15" s="1"/>
  <c r="K308" i="15"/>
  <c r="L308" i="15" s="1"/>
  <c r="K310" i="15"/>
  <c r="L310" i="15" s="1"/>
  <c r="K311" i="15"/>
  <c r="L311" i="15" s="1"/>
  <c r="K312" i="15"/>
  <c r="L312" i="15" s="1"/>
  <c r="K313" i="15"/>
  <c r="L313" i="15" s="1"/>
  <c r="K314" i="15"/>
  <c r="L314" i="15" s="1"/>
  <c r="K315" i="15"/>
  <c r="L315" i="15" s="1"/>
  <c r="K316" i="15"/>
  <c r="L316" i="15" s="1"/>
  <c r="K318" i="15"/>
  <c r="L318" i="15" s="1"/>
  <c r="K319" i="15"/>
  <c r="L319" i="15" s="1"/>
  <c r="K320" i="15"/>
  <c r="L320" i="15" s="1"/>
  <c r="K321" i="15"/>
  <c r="L321" i="15" s="1"/>
  <c r="K322" i="15"/>
  <c r="L322" i="15" s="1"/>
  <c r="K323" i="15"/>
  <c r="L323" i="15" s="1"/>
  <c r="K324" i="15"/>
  <c r="L324" i="15" s="1"/>
  <c r="K325" i="15"/>
  <c r="L325" i="15" s="1"/>
  <c r="K326" i="15"/>
  <c r="L326" i="15" s="1"/>
  <c r="K327" i="15"/>
  <c r="L327" i="15" s="1"/>
  <c r="K329" i="15"/>
  <c r="L329" i="15" s="1"/>
  <c r="K330" i="15"/>
  <c r="L330" i="15" s="1"/>
  <c r="K331" i="15"/>
  <c r="L331" i="15" s="1"/>
  <c r="K332" i="15"/>
  <c r="L332" i="15" s="1"/>
  <c r="K333" i="15"/>
  <c r="L333" i="15" s="1"/>
  <c r="K335" i="15"/>
  <c r="L335" i="15" s="1"/>
  <c r="K336" i="15"/>
  <c r="L336" i="15" s="1"/>
  <c r="K337" i="15"/>
  <c r="L337" i="15" s="1"/>
  <c r="K342" i="15"/>
  <c r="L342" i="15" s="1"/>
  <c r="K344" i="15"/>
  <c r="L344" i="15" s="1"/>
  <c r="K346" i="15"/>
  <c r="L346" i="15" s="1"/>
  <c r="K347" i="15"/>
  <c r="L347" i="15" s="1"/>
  <c r="K348" i="15"/>
  <c r="L348" i="15" s="1"/>
  <c r="K349" i="15"/>
  <c r="L349" i="15" s="1"/>
  <c r="K350" i="15"/>
  <c r="L350" i="15" s="1"/>
  <c r="K351" i="15"/>
  <c r="L351" i="15" s="1"/>
  <c r="K352" i="15"/>
  <c r="L352" i="15" s="1"/>
  <c r="K353" i="15"/>
  <c r="L353" i="15" s="1"/>
  <c r="K356" i="15"/>
  <c r="L356" i="15" s="1"/>
  <c r="K357" i="15"/>
  <c r="L357" i="15" s="1"/>
  <c r="K358" i="15"/>
  <c r="L358" i="15" s="1"/>
  <c r="K360" i="15"/>
  <c r="L360" i="15" s="1"/>
  <c r="K361" i="15"/>
  <c r="L361" i="15" s="1"/>
  <c r="K363" i="15"/>
  <c r="L363" i="15" s="1"/>
  <c r="K364" i="15"/>
  <c r="L364" i="15" s="1"/>
  <c r="K365" i="15"/>
  <c r="L365" i="15" s="1"/>
  <c r="K366" i="15"/>
  <c r="L366" i="15" s="1"/>
  <c r="K367" i="15"/>
  <c r="L367" i="15" s="1"/>
  <c r="K368" i="15"/>
  <c r="L368" i="15" s="1"/>
  <c r="K369" i="15"/>
  <c r="L369" i="15" s="1"/>
  <c r="K370" i="15"/>
  <c r="L370" i="15" s="1"/>
  <c r="K371" i="15"/>
  <c r="L371" i="15" s="1"/>
  <c r="K372" i="15"/>
  <c r="L372" i="15" s="1"/>
  <c r="K373" i="15"/>
  <c r="L373" i="15" s="1"/>
  <c r="K374" i="15"/>
  <c r="L374" i="15" s="1"/>
  <c r="K375" i="15"/>
  <c r="L375" i="15" s="1"/>
  <c r="K376" i="15"/>
  <c r="L376" i="15" s="1"/>
  <c r="K377" i="15"/>
  <c r="L377" i="15" s="1"/>
  <c r="K379" i="15"/>
  <c r="L379" i="15" s="1"/>
  <c r="K380" i="15"/>
  <c r="L380" i="15" s="1"/>
  <c r="K382" i="15"/>
  <c r="L382" i="15" s="1"/>
  <c r="K383" i="15"/>
  <c r="L383" i="15" s="1"/>
  <c r="K384" i="15"/>
  <c r="L384" i="15" s="1"/>
  <c r="K385" i="15"/>
  <c r="L385" i="15" s="1"/>
  <c r="K388" i="15"/>
  <c r="L388" i="15" s="1"/>
  <c r="K389" i="15"/>
  <c r="L389" i="15" s="1"/>
  <c r="K390" i="15"/>
  <c r="L390" i="15" s="1"/>
  <c r="K393" i="15"/>
  <c r="L393" i="15" s="1"/>
  <c r="K394" i="15"/>
  <c r="L394" i="15" s="1"/>
  <c r="K396" i="15"/>
  <c r="L396" i="15" s="1"/>
  <c r="K397" i="15"/>
  <c r="L397" i="15" s="1"/>
  <c r="K398" i="15"/>
  <c r="L398" i="15" s="1"/>
  <c r="K400" i="15"/>
  <c r="L400" i="15" s="1"/>
  <c r="K401" i="15"/>
  <c r="L401" i="15" s="1"/>
  <c r="K402" i="15"/>
  <c r="L402" i="15" s="1"/>
  <c r="K404" i="15"/>
  <c r="L404" i="15" s="1"/>
  <c r="K405" i="15"/>
  <c r="L405" i="15" s="1"/>
  <c r="K406" i="15"/>
  <c r="L406" i="15" s="1"/>
  <c r="K407" i="15"/>
  <c r="L407" i="15" s="1"/>
  <c r="K408" i="15"/>
  <c r="L408" i="15" s="1"/>
  <c r="K409" i="15"/>
  <c r="L409" i="15" s="1"/>
  <c r="K410" i="15"/>
  <c r="L410" i="15" s="1"/>
  <c r="K413" i="15"/>
  <c r="L413" i="15" s="1"/>
  <c r="K415" i="15"/>
  <c r="L415" i="15" s="1"/>
  <c r="K418" i="15"/>
  <c r="L418" i="15" s="1"/>
  <c r="K421" i="15"/>
  <c r="L421" i="15" s="1"/>
  <c r="K424" i="15"/>
  <c r="L424" i="15" s="1"/>
  <c r="K425" i="15"/>
  <c r="L425" i="15" s="1"/>
  <c r="K426" i="15"/>
  <c r="L426" i="15" s="1"/>
  <c r="K429" i="15"/>
  <c r="L429" i="15" s="1"/>
  <c r="K431" i="15"/>
  <c r="L431" i="15" s="1"/>
  <c r="K433" i="15"/>
  <c r="L433" i="15" s="1"/>
  <c r="K434" i="15"/>
  <c r="L434" i="15" s="1"/>
  <c r="K437" i="15"/>
  <c r="L437" i="15" s="1"/>
  <c r="K438" i="15"/>
  <c r="L438" i="15" s="1"/>
  <c r="K439" i="15"/>
  <c r="L439" i="15" s="1"/>
  <c r="K440" i="15"/>
  <c r="L440" i="15" s="1"/>
  <c r="K441" i="15"/>
  <c r="L441" i="15" s="1"/>
  <c r="K442" i="15"/>
  <c r="L442" i="15" s="1"/>
  <c r="K444" i="15"/>
  <c r="L444" i="15" s="1"/>
  <c r="K445" i="15"/>
  <c r="L445" i="15" s="1"/>
  <c r="K447" i="15"/>
  <c r="L447" i="15" s="1"/>
  <c r="K449" i="15"/>
  <c r="L449" i="15" s="1"/>
  <c r="K450" i="15"/>
  <c r="L450" i="15" s="1"/>
  <c r="K451" i="15"/>
  <c r="L451" i="15" s="1"/>
  <c r="K452" i="15"/>
  <c r="L452" i="15" s="1"/>
  <c r="K453" i="15"/>
  <c r="L453" i="15" s="1"/>
  <c r="K454" i="15"/>
  <c r="L454" i="15" s="1"/>
  <c r="K455" i="15"/>
  <c r="L455" i="15" s="1"/>
  <c r="K456" i="15"/>
  <c r="L456" i="15" s="1"/>
  <c r="K457" i="15"/>
  <c r="L457" i="15" s="1"/>
  <c r="K458" i="15"/>
  <c r="L458" i="15" s="1"/>
  <c r="K460" i="15"/>
  <c r="L460" i="15" s="1"/>
  <c r="K461" i="15"/>
  <c r="L461" i="15" s="1"/>
  <c r="K462" i="15"/>
  <c r="L462" i="15" s="1"/>
  <c r="K465" i="15"/>
  <c r="L465" i="15" s="1"/>
  <c r="K466" i="15"/>
  <c r="L466" i="15" s="1"/>
  <c r="K467" i="15"/>
  <c r="L467" i="15" s="1"/>
  <c r="K468" i="15"/>
  <c r="L468" i="15" s="1"/>
  <c r="K469" i="15"/>
  <c r="L469" i="15" s="1"/>
  <c r="K470" i="15"/>
  <c r="L470" i="15" s="1"/>
  <c r="K476" i="15"/>
  <c r="L476" i="15" s="1"/>
  <c r="K477" i="15"/>
  <c r="L477" i="15" s="1"/>
  <c r="K478" i="15"/>
  <c r="L478" i="15" s="1"/>
  <c r="K479" i="15"/>
  <c r="L479" i="15" s="1"/>
  <c r="K482" i="15"/>
  <c r="L482" i="15" s="1"/>
  <c r="I483" i="15"/>
  <c r="K485" i="15"/>
  <c r="L485" i="15" s="1"/>
  <c r="K489" i="15"/>
  <c r="L489" i="15" s="1"/>
  <c r="K490" i="15"/>
  <c r="L490" i="15" s="1"/>
  <c r="K491" i="15"/>
  <c r="L491" i="15" s="1"/>
  <c r="K492" i="15"/>
  <c r="L492" i="15" s="1"/>
  <c r="K496" i="15"/>
  <c r="L496" i="15" s="1"/>
  <c r="K35" i="15"/>
  <c r="L35" i="15" s="1"/>
  <c r="K36" i="15"/>
  <c r="L36" i="15" s="1"/>
  <c r="K37" i="15"/>
  <c r="L37" i="15" s="1"/>
  <c r="K38" i="15"/>
  <c r="L38" i="15" s="1"/>
  <c r="K45" i="15"/>
  <c r="L45" i="15" s="1"/>
  <c r="K46" i="15"/>
  <c r="L46" i="15" s="1"/>
  <c r="K48" i="15"/>
  <c r="L48" i="15" s="1"/>
  <c r="K49" i="15"/>
  <c r="L49" i="15" s="1"/>
  <c r="K51" i="15"/>
  <c r="L51" i="15" s="1"/>
  <c r="K53" i="15"/>
  <c r="L53" i="15" s="1"/>
  <c r="K54" i="15"/>
  <c r="L54" i="15" s="1"/>
  <c r="K55" i="15"/>
  <c r="L55" i="15" s="1"/>
  <c r="K56" i="15"/>
  <c r="L56" i="15" s="1"/>
  <c r="K58" i="15"/>
  <c r="L58" i="15" s="1"/>
  <c r="K60" i="15"/>
  <c r="L60" i="15" s="1"/>
  <c r="K61" i="15"/>
  <c r="L61" i="15" s="1"/>
  <c r="K62" i="15"/>
  <c r="L62" i="15" s="1"/>
  <c r="K63" i="15"/>
  <c r="L63" i="15" s="1"/>
  <c r="K64" i="15"/>
  <c r="L64" i="15" s="1"/>
  <c r="K67" i="15"/>
  <c r="L67" i="15" s="1"/>
  <c r="K68" i="15"/>
  <c r="L68" i="15" s="1"/>
  <c r="K69" i="15"/>
  <c r="L69" i="15" s="1"/>
  <c r="K70" i="15"/>
  <c r="L70" i="15" s="1"/>
  <c r="K71" i="15"/>
  <c r="L71" i="15" s="1"/>
  <c r="K72" i="15"/>
  <c r="L72" i="15" s="1"/>
  <c r="K73" i="15"/>
  <c r="L73" i="15" s="1"/>
  <c r="K75" i="15"/>
  <c r="L75" i="15" s="1"/>
  <c r="K76" i="15"/>
  <c r="L76" i="15" s="1"/>
  <c r="K77" i="15"/>
  <c r="L77" i="15" s="1"/>
  <c r="K78" i="15"/>
  <c r="L78" i="15" s="1"/>
  <c r="K79" i="15"/>
  <c r="L79" i="15" s="1"/>
  <c r="K80" i="15"/>
  <c r="L80" i="15" s="1"/>
  <c r="K81" i="15"/>
  <c r="L81" i="15" s="1"/>
  <c r="K82" i="15"/>
  <c r="L82" i="15" s="1"/>
  <c r="K83" i="15"/>
  <c r="L83" i="15" s="1"/>
  <c r="K84" i="15"/>
  <c r="L84" i="15" s="1"/>
  <c r="K85" i="15"/>
  <c r="L85" i="15" s="1"/>
  <c r="K86" i="15"/>
  <c r="L86" i="15" s="1"/>
  <c r="K87" i="15"/>
  <c r="L87" i="15" s="1"/>
  <c r="K88" i="15"/>
  <c r="L88" i="15" s="1"/>
  <c r="K89" i="15"/>
  <c r="L89" i="15" s="1"/>
  <c r="K90" i="15"/>
  <c r="L90" i="15" s="1"/>
  <c r="K91" i="15"/>
  <c r="L91" i="15" s="1"/>
  <c r="K92" i="15"/>
  <c r="L92" i="15" s="1"/>
  <c r="K93" i="15"/>
  <c r="L93" i="15" s="1"/>
  <c r="K94" i="15"/>
  <c r="L94" i="15" s="1"/>
  <c r="K95" i="15"/>
  <c r="L95" i="15" s="1"/>
  <c r="K96" i="15"/>
  <c r="L96" i="15" s="1"/>
  <c r="K104" i="15"/>
  <c r="L104" i="15" s="1"/>
  <c r="K105" i="15"/>
  <c r="L105" i="15" s="1"/>
  <c r="K108" i="15"/>
  <c r="L108" i="15" s="1"/>
  <c r="K109" i="15"/>
  <c r="L109" i="15" s="1"/>
  <c r="K110" i="15"/>
  <c r="L110" i="15" s="1"/>
  <c r="K111" i="15"/>
  <c r="L111" i="15" s="1"/>
  <c r="K112" i="15"/>
  <c r="L112" i="15" s="1"/>
  <c r="K113" i="15"/>
  <c r="L113" i="15" s="1"/>
  <c r="K116" i="15"/>
  <c r="L116" i="15" s="1"/>
  <c r="K117" i="15"/>
  <c r="L117" i="15" s="1"/>
  <c r="K118" i="15"/>
  <c r="L118" i="15" s="1"/>
  <c r="K119" i="15"/>
  <c r="L119" i="15" s="1"/>
  <c r="K120" i="15"/>
  <c r="L120" i="15" s="1"/>
  <c r="K121" i="15"/>
  <c r="L121" i="15" s="1"/>
  <c r="H497" i="15"/>
  <c r="G497" i="15"/>
  <c r="F497" i="15"/>
  <c r="E497" i="15"/>
  <c r="D497" i="15"/>
  <c r="H494" i="15"/>
  <c r="G494" i="15"/>
  <c r="F494" i="15"/>
  <c r="E494" i="15"/>
  <c r="D494" i="15"/>
  <c r="H486" i="15"/>
  <c r="G486" i="15"/>
  <c r="F486" i="15"/>
  <c r="E486" i="15"/>
  <c r="D486" i="15"/>
  <c r="H483" i="15"/>
  <c r="G483" i="15"/>
  <c r="F483" i="15"/>
  <c r="E483" i="15"/>
  <c r="D483" i="15"/>
  <c r="H480" i="15"/>
  <c r="G480" i="15"/>
  <c r="F480" i="15"/>
  <c r="E480" i="15"/>
  <c r="D480" i="15"/>
  <c r="H474" i="15"/>
  <c r="G474" i="15"/>
  <c r="F474" i="15"/>
  <c r="E474" i="15"/>
  <c r="D474" i="15"/>
  <c r="E392" i="15"/>
  <c r="D392" i="15"/>
  <c r="H386" i="15"/>
  <c r="G386" i="15"/>
  <c r="F386" i="15"/>
  <c r="E386" i="15"/>
  <c r="D386" i="15"/>
  <c r="G339" i="15"/>
  <c r="F339" i="15"/>
  <c r="E339" i="15"/>
  <c r="D339" i="15"/>
  <c r="G293" i="15"/>
  <c r="F293" i="15"/>
  <c r="E293" i="15"/>
  <c r="D293" i="15"/>
  <c r="H194" i="15"/>
  <c r="G194" i="15"/>
  <c r="F194" i="15"/>
  <c r="E194" i="15"/>
  <c r="D194" i="15"/>
  <c r="H172" i="15"/>
  <c r="G172" i="15"/>
  <c r="F172" i="15"/>
  <c r="E172" i="15"/>
  <c r="D172" i="15"/>
  <c r="H151" i="15"/>
  <c r="G151" i="15"/>
  <c r="F151" i="15"/>
  <c r="E151" i="15"/>
  <c r="D151" i="15"/>
  <c r="H147" i="15"/>
  <c r="G147" i="15"/>
  <c r="F147" i="15"/>
  <c r="E147" i="15"/>
  <c r="D147" i="15"/>
  <c r="H143" i="15"/>
  <c r="G143" i="15"/>
  <c r="F143" i="15"/>
  <c r="E143" i="15"/>
  <c r="D143" i="15"/>
  <c r="H136" i="15"/>
  <c r="G136" i="15"/>
  <c r="F136" i="15"/>
  <c r="E136" i="15"/>
  <c r="D136" i="15"/>
  <c r="H133" i="15"/>
  <c r="G133" i="15"/>
  <c r="F133" i="15"/>
  <c r="E133" i="15"/>
  <c r="D133" i="15"/>
  <c r="H127" i="15"/>
  <c r="G127" i="15"/>
  <c r="F127" i="15"/>
  <c r="E127" i="15"/>
  <c r="D127" i="15"/>
  <c r="H102" i="15"/>
  <c r="G102" i="15"/>
  <c r="F102" i="15"/>
  <c r="E102" i="15"/>
  <c r="D102" i="15"/>
  <c r="H65" i="15"/>
  <c r="G65" i="15"/>
  <c r="F65" i="15"/>
  <c r="E65" i="15"/>
  <c r="D65" i="15"/>
  <c r="H59" i="15"/>
  <c r="G59" i="15"/>
  <c r="F59" i="15"/>
  <c r="E59" i="15"/>
  <c r="D59" i="15"/>
  <c r="H52" i="15"/>
  <c r="G52" i="15"/>
  <c r="F52" i="15"/>
  <c r="E52" i="15"/>
  <c r="D52" i="15"/>
  <c r="H47" i="15"/>
  <c r="G47" i="15"/>
  <c r="F47" i="15"/>
  <c r="E47" i="15"/>
  <c r="D47" i="15"/>
  <c r="H44" i="15"/>
  <c r="G44" i="15"/>
  <c r="F44" i="15"/>
  <c r="E44" i="15"/>
  <c r="D44" i="15"/>
  <c r="H5" i="15"/>
  <c r="G5" i="15"/>
  <c r="F5" i="15"/>
  <c r="E5" i="15"/>
  <c r="E127" i="4"/>
  <c r="F127" i="4"/>
  <c r="G127" i="4"/>
  <c r="H127" i="4"/>
  <c r="H191" i="4" s="1"/>
  <c r="D127" i="4"/>
  <c r="E133" i="4"/>
  <c r="F133" i="4"/>
  <c r="G133" i="4"/>
  <c r="H133" i="4"/>
  <c r="D133" i="4"/>
  <c r="E483" i="4"/>
  <c r="F483" i="4"/>
  <c r="G483" i="4"/>
  <c r="H483" i="4"/>
  <c r="D483" i="4"/>
  <c r="E480" i="4"/>
  <c r="F480" i="4"/>
  <c r="G480" i="4"/>
  <c r="H480" i="4"/>
  <c r="D480" i="4"/>
  <c r="E474" i="4"/>
  <c r="F474" i="4"/>
  <c r="G474" i="4"/>
  <c r="H474" i="4"/>
  <c r="D474" i="4"/>
  <c r="F256" i="4"/>
  <c r="G256" i="4"/>
  <c r="H256" i="4"/>
  <c r="D256" i="4"/>
  <c r="G194" i="4"/>
  <c r="F194" i="4"/>
  <c r="H194" i="4"/>
  <c r="D194" i="4"/>
  <c r="E65" i="4"/>
  <c r="F65" i="4"/>
  <c r="G65" i="4"/>
  <c r="H65" i="4"/>
  <c r="D65" i="4"/>
  <c r="E59" i="4"/>
  <c r="F59" i="4"/>
  <c r="G59" i="4"/>
  <c r="H59" i="4"/>
  <c r="D59" i="4"/>
  <c r="E44" i="4"/>
  <c r="F44" i="4"/>
  <c r="G44" i="4"/>
  <c r="H44" i="4"/>
  <c r="D44" i="4"/>
  <c r="E497" i="4"/>
  <c r="F497" i="4"/>
  <c r="G497" i="4"/>
  <c r="H497" i="4"/>
  <c r="D497" i="4"/>
  <c r="E494" i="4"/>
  <c r="F494" i="4"/>
  <c r="G494" i="4"/>
  <c r="H494" i="4"/>
  <c r="D494" i="4"/>
  <c r="E486" i="4"/>
  <c r="F486" i="4"/>
  <c r="G486" i="4"/>
  <c r="H486" i="4"/>
  <c r="D486" i="4"/>
  <c r="D392" i="4"/>
  <c r="E386" i="4"/>
  <c r="F386" i="4"/>
  <c r="G386" i="4"/>
  <c r="H386" i="4"/>
  <c r="D386" i="4"/>
  <c r="E339" i="4"/>
  <c r="F339" i="4"/>
  <c r="G339" i="4"/>
  <c r="D339" i="4"/>
  <c r="H293" i="4"/>
  <c r="F293" i="4"/>
  <c r="G293" i="4"/>
  <c r="D293" i="4"/>
  <c r="H147" i="4"/>
  <c r="H151" i="4"/>
  <c r="H172" i="4"/>
  <c r="H143" i="4"/>
  <c r="H136" i="4"/>
  <c r="H102" i="4"/>
  <c r="H52" i="4"/>
  <c r="H47" i="4"/>
  <c r="H32" i="4"/>
  <c r="H29" i="4"/>
  <c r="H14" i="4"/>
  <c r="E136" i="4"/>
  <c r="F136" i="4"/>
  <c r="G136" i="4"/>
  <c r="D136" i="4"/>
  <c r="E143" i="4"/>
  <c r="F143" i="4"/>
  <c r="G143" i="4"/>
  <c r="D143" i="4"/>
  <c r="E147" i="4"/>
  <c r="F147" i="4"/>
  <c r="G147" i="4"/>
  <c r="D147" i="4"/>
  <c r="E172" i="4"/>
  <c r="F172" i="4"/>
  <c r="G172" i="4"/>
  <c r="D172" i="4"/>
  <c r="E151" i="4"/>
  <c r="F151" i="4"/>
  <c r="G151" i="4"/>
  <c r="D151" i="4"/>
  <c r="E102" i="4"/>
  <c r="F102" i="4"/>
  <c r="G102" i="4"/>
  <c r="D102" i="4"/>
  <c r="E52" i="4"/>
  <c r="F52" i="4"/>
  <c r="G52" i="4"/>
  <c r="D52" i="4"/>
  <c r="E47" i="4"/>
  <c r="F47" i="4"/>
  <c r="G47" i="4"/>
  <c r="D47" i="4"/>
  <c r="E32" i="4"/>
  <c r="F32" i="4"/>
  <c r="G32" i="4"/>
  <c r="D32" i="4"/>
  <c r="E29" i="4"/>
  <c r="F29" i="4"/>
  <c r="G29" i="4"/>
  <c r="G14" i="4"/>
  <c r="E5" i="4"/>
  <c r="F5" i="4"/>
  <c r="H5" i="4"/>
  <c r="E413" i="4"/>
  <c r="E435" i="4"/>
  <c r="E435" i="22" s="1"/>
  <c r="E315" i="4"/>
  <c r="E319" i="4"/>
  <c r="E314" i="4"/>
  <c r="E314" i="22" s="1"/>
  <c r="K314" i="22" s="1"/>
  <c r="L314" i="22" s="1"/>
  <c r="E318" i="4"/>
  <c r="E318" i="22" s="1"/>
  <c r="K318" i="22" s="1"/>
  <c r="L318" i="22" s="1"/>
  <c r="E426" i="4"/>
  <c r="E426" i="22" s="1"/>
  <c r="K426" i="22" s="1"/>
  <c r="L426" i="22" s="1"/>
  <c r="E335" i="4"/>
  <c r="K59" i="17" l="1"/>
  <c r="I29" i="22"/>
  <c r="I472" i="17"/>
  <c r="J341" i="15"/>
  <c r="K341" i="15" s="1"/>
  <c r="L341" i="15" s="1"/>
  <c r="G191" i="4"/>
  <c r="F122" i="4"/>
  <c r="H122" i="4"/>
  <c r="G191" i="15"/>
  <c r="H191" i="15"/>
  <c r="F122" i="15"/>
  <c r="G122" i="15"/>
  <c r="H122" i="15"/>
  <c r="K265" i="22"/>
  <c r="L265" i="22" s="1"/>
  <c r="F191" i="4"/>
  <c r="E191" i="4"/>
  <c r="G122" i="4"/>
  <c r="E122" i="4"/>
  <c r="K423" i="15"/>
  <c r="L423" i="15" s="1"/>
  <c r="K430" i="15"/>
  <c r="L430" i="15" s="1"/>
  <c r="K133" i="15"/>
  <c r="L133" i="15" s="1"/>
  <c r="K47" i="15"/>
  <c r="L47" i="15" s="1"/>
  <c r="K143" i="15"/>
  <c r="L143" i="15" s="1"/>
  <c r="K463" i="15"/>
  <c r="L463" i="15" s="1"/>
  <c r="F191" i="15"/>
  <c r="K270" i="4"/>
  <c r="L270" i="4" s="1"/>
  <c r="K270" i="15"/>
  <c r="L270" i="15" s="1"/>
  <c r="I122" i="17"/>
  <c r="K345" i="17"/>
  <c r="L345" i="17" s="1"/>
  <c r="H341" i="17"/>
  <c r="J341" i="17" s="1"/>
  <c r="K414" i="17"/>
  <c r="L414" i="17" s="1"/>
  <c r="K423" i="17"/>
  <c r="L423" i="17" s="1"/>
  <c r="H122" i="17"/>
  <c r="I127" i="22"/>
  <c r="F29" i="22"/>
  <c r="I133" i="22"/>
  <c r="H143" i="22"/>
  <c r="E136" i="22"/>
  <c r="F151" i="22"/>
  <c r="D102" i="22"/>
  <c r="E44" i="22"/>
  <c r="G483" i="22"/>
  <c r="G29" i="22"/>
  <c r="G127" i="22"/>
  <c r="H32" i="22"/>
  <c r="H304" i="22"/>
  <c r="K304" i="22" s="1"/>
  <c r="L304" i="22" s="1"/>
  <c r="E29" i="22"/>
  <c r="G52" i="22"/>
  <c r="G147" i="22"/>
  <c r="H102" i="22"/>
  <c r="H386" i="22"/>
  <c r="G474" i="22"/>
  <c r="F133" i="22"/>
  <c r="E151" i="22"/>
  <c r="H65" i="22"/>
  <c r="G59" i="22"/>
  <c r="D147" i="22"/>
  <c r="H44" i="22"/>
  <c r="F32" i="22"/>
  <c r="F52" i="22"/>
  <c r="F136" i="22"/>
  <c r="G386" i="22"/>
  <c r="E494" i="22"/>
  <c r="D65" i="22"/>
  <c r="G194" i="22"/>
  <c r="F474" i="22"/>
  <c r="H483" i="22"/>
  <c r="F386" i="22"/>
  <c r="D497" i="22"/>
  <c r="E102" i="22"/>
  <c r="F44" i="22"/>
  <c r="H127" i="22"/>
  <c r="D52" i="22"/>
  <c r="G151" i="22"/>
  <c r="E5" i="22"/>
  <c r="E147" i="22"/>
  <c r="E474" i="22"/>
  <c r="D172" i="22"/>
  <c r="G143" i="22"/>
  <c r="H29" i="22"/>
  <c r="H151" i="22"/>
  <c r="G339" i="22"/>
  <c r="D133" i="22"/>
  <c r="I143" i="22"/>
  <c r="G47" i="22"/>
  <c r="D136" i="22"/>
  <c r="G293" i="22"/>
  <c r="F392" i="22"/>
  <c r="D44" i="22"/>
  <c r="F59" i="22"/>
  <c r="E480" i="22"/>
  <c r="G486" i="22"/>
  <c r="H172" i="22"/>
  <c r="G32" i="22"/>
  <c r="G136" i="22"/>
  <c r="F293" i="22"/>
  <c r="D486" i="22"/>
  <c r="F494" i="22"/>
  <c r="E59" i="22"/>
  <c r="F194" i="22"/>
  <c r="D483" i="22"/>
  <c r="H136" i="22"/>
  <c r="H257" i="22"/>
  <c r="K335" i="4"/>
  <c r="L335" i="4" s="1"/>
  <c r="E335" i="22"/>
  <c r="K335" i="22" s="1"/>
  <c r="L335" i="22" s="1"/>
  <c r="D127" i="22"/>
  <c r="K495" i="17"/>
  <c r="L495" i="17" s="1"/>
  <c r="I495" i="22"/>
  <c r="K495" i="22" s="1"/>
  <c r="L495" i="22" s="1"/>
  <c r="H345" i="22"/>
  <c r="K345" i="22" s="1"/>
  <c r="L345" i="22" s="1"/>
  <c r="E386" i="22"/>
  <c r="F486" i="22"/>
  <c r="H497" i="22"/>
  <c r="G65" i="22"/>
  <c r="D480" i="22"/>
  <c r="F483" i="22"/>
  <c r="K496" i="17"/>
  <c r="L496" i="17" s="1"/>
  <c r="I496" i="22"/>
  <c r="K496" i="22" s="1"/>
  <c r="L496" i="22" s="1"/>
  <c r="K412" i="15"/>
  <c r="L412" i="15" s="1"/>
  <c r="H412" i="22"/>
  <c r="K412" i="22" s="1"/>
  <c r="L412" i="22" s="1"/>
  <c r="G44" i="22"/>
  <c r="K254" i="17"/>
  <c r="L254" i="17" s="1"/>
  <c r="H254" i="22"/>
  <c r="K254" i="22" s="1"/>
  <c r="L254" i="22" s="1"/>
  <c r="D339" i="22"/>
  <c r="G497" i="22"/>
  <c r="K414" i="15"/>
  <c r="L414" i="15" s="1"/>
  <c r="H414" i="22"/>
  <c r="H423" i="22"/>
  <c r="K423" i="22" s="1"/>
  <c r="L423" i="22" s="1"/>
  <c r="H430" i="22"/>
  <c r="H486" i="22"/>
  <c r="G14" i="22"/>
  <c r="D143" i="22"/>
  <c r="K319" i="4"/>
  <c r="L319" i="4" s="1"/>
  <c r="E319" i="22"/>
  <c r="K319" i="22" s="1"/>
  <c r="L319" i="22" s="1"/>
  <c r="G172" i="22"/>
  <c r="D392" i="22"/>
  <c r="D59" i="22"/>
  <c r="E483" i="22"/>
  <c r="K315" i="4"/>
  <c r="L315" i="4" s="1"/>
  <c r="E315" i="22"/>
  <c r="K315" i="22" s="1"/>
  <c r="L315" i="22" s="1"/>
  <c r="F47" i="22"/>
  <c r="F102" i="22"/>
  <c r="F172" i="22"/>
  <c r="F143" i="22"/>
  <c r="H147" i="22"/>
  <c r="F339" i="22"/>
  <c r="D494" i="22"/>
  <c r="F497" i="22"/>
  <c r="H59" i="22"/>
  <c r="E65" i="22"/>
  <c r="G480" i="22"/>
  <c r="F127" i="22"/>
  <c r="K408" i="17"/>
  <c r="L408" i="17" s="1"/>
  <c r="H408" i="22"/>
  <c r="K408" i="22" s="1"/>
  <c r="L408" i="22" s="1"/>
  <c r="F147" i="22"/>
  <c r="E133" i="22"/>
  <c r="E32" i="22"/>
  <c r="D47" i="22"/>
  <c r="H14" i="22"/>
  <c r="G102" i="22"/>
  <c r="E486" i="22"/>
  <c r="F65" i="22"/>
  <c r="H480" i="22"/>
  <c r="E47" i="22"/>
  <c r="E172" i="22"/>
  <c r="E143" i="22"/>
  <c r="H47" i="22"/>
  <c r="D293" i="22"/>
  <c r="E339" i="22"/>
  <c r="G392" i="22"/>
  <c r="H494" i="22"/>
  <c r="E497" i="22"/>
  <c r="D194" i="22"/>
  <c r="D474" i="22"/>
  <c r="F480" i="22"/>
  <c r="H133" i="22"/>
  <c r="E127" i="22"/>
  <c r="I44" i="22"/>
  <c r="K435" i="17"/>
  <c r="L435" i="17" s="1"/>
  <c r="H435" i="22"/>
  <c r="K435" i="22" s="1"/>
  <c r="L435" i="22" s="1"/>
  <c r="F270" i="22"/>
  <c r="E52" i="22"/>
  <c r="K413" i="4"/>
  <c r="L413" i="4" s="1"/>
  <c r="E413" i="22"/>
  <c r="K413" i="22" s="1"/>
  <c r="L413" i="22" s="1"/>
  <c r="D32" i="22"/>
  <c r="D151" i="22"/>
  <c r="H52" i="22"/>
  <c r="D386" i="22"/>
  <c r="G494" i="22"/>
  <c r="H474" i="22"/>
  <c r="G133" i="22"/>
  <c r="K436" i="15"/>
  <c r="L436" i="15" s="1"/>
  <c r="H436" i="22"/>
  <c r="K436" i="22" s="1"/>
  <c r="L436" i="22" s="1"/>
  <c r="H363" i="22"/>
  <c r="K363" i="22" s="1"/>
  <c r="L363" i="22" s="1"/>
  <c r="H463" i="22"/>
  <c r="K463" i="22" s="1"/>
  <c r="L463" i="22" s="1"/>
  <c r="H5" i="22"/>
  <c r="F5" i="22"/>
  <c r="K270" i="17"/>
  <c r="L270" i="17" s="1"/>
  <c r="L392" i="17"/>
  <c r="L59" i="17"/>
  <c r="K136" i="17"/>
  <c r="L136" i="17" s="1"/>
  <c r="K102" i="4"/>
  <c r="L102" i="4" s="1"/>
  <c r="K44" i="15"/>
  <c r="L44" i="15" s="1"/>
  <c r="L474" i="17"/>
  <c r="K44" i="17"/>
  <c r="L44" i="17" s="1"/>
  <c r="H293" i="17"/>
  <c r="K304" i="17"/>
  <c r="L304" i="17" s="1"/>
  <c r="K318" i="4"/>
  <c r="L318" i="4" s="1"/>
  <c r="K133" i="4"/>
  <c r="L133" i="4" s="1"/>
  <c r="K102" i="17"/>
  <c r="L102" i="17" s="1"/>
  <c r="K147" i="17"/>
  <c r="L147" i="17" s="1"/>
  <c r="K52" i="17"/>
  <c r="L52" i="17" s="1"/>
  <c r="K133" i="17"/>
  <c r="L133" i="17" s="1"/>
  <c r="K314" i="4"/>
  <c r="L314" i="4" s="1"/>
  <c r="K435" i="4"/>
  <c r="L435" i="4" s="1"/>
  <c r="K32" i="17"/>
  <c r="L32" i="17" s="1"/>
  <c r="H194" i="17"/>
  <c r="K65" i="17"/>
  <c r="L65" i="17" s="1"/>
  <c r="K143" i="17"/>
  <c r="L143" i="17" s="1"/>
  <c r="K480" i="17"/>
  <c r="L480" i="17" s="1"/>
  <c r="E430" i="4"/>
  <c r="K426" i="4"/>
  <c r="L426" i="4" s="1"/>
  <c r="K47" i="17"/>
  <c r="L47" i="17" s="1"/>
  <c r="K386" i="17"/>
  <c r="L386" i="17" s="1"/>
  <c r="K29" i="17"/>
  <c r="L29" i="17" s="1"/>
  <c r="K127" i="17"/>
  <c r="K151" i="17"/>
  <c r="L151" i="17" s="1"/>
  <c r="K486" i="17"/>
  <c r="H293" i="15"/>
  <c r="K304" i="15"/>
  <c r="L304" i="15" s="1"/>
  <c r="K151" i="15"/>
  <c r="L151" i="15" s="1"/>
  <c r="K345" i="15"/>
  <c r="L345" i="15" s="1"/>
  <c r="I494" i="4"/>
  <c r="K495" i="4"/>
  <c r="L495" i="4" s="1"/>
  <c r="I486" i="4"/>
  <c r="K487" i="4"/>
  <c r="L487" i="4" s="1"/>
  <c r="I483" i="4"/>
  <c r="K484" i="4"/>
  <c r="L484" i="4" s="1"/>
  <c r="K481" i="4"/>
  <c r="L481" i="4" s="1"/>
  <c r="I480" i="4"/>
  <c r="I474" i="4"/>
  <c r="K475" i="4"/>
  <c r="L475" i="4" s="1"/>
  <c r="I392" i="4"/>
  <c r="K393" i="4"/>
  <c r="L393" i="4" s="1"/>
  <c r="I386" i="4"/>
  <c r="I339" i="4"/>
  <c r="K340" i="4"/>
  <c r="L340" i="4" s="1"/>
  <c r="I293" i="4"/>
  <c r="K294" i="4"/>
  <c r="L294" i="4" s="1"/>
  <c r="I172" i="4"/>
  <c r="K173" i="4"/>
  <c r="L173" i="4" s="1"/>
  <c r="I151" i="4"/>
  <c r="I151" i="22" s="1"/>
  <c r="K152" i="4"/>
  <c r="L152" i="4" s="1"/>
  <c r="I147" i="4"/>
  <c r="I147" i="22" s="1"/>
  <c r="K148" i="4"/>
  <c r="L148" i="4" s="1"/>
  <c r="K143" i="4"/>
  <c r="L143" i="4" s="1"/>
  <c r="K144" i="4"/>
  <c r="L144" i="4" s="1"/>
  <c r="I136" i="4"/>
  <c r="I136" i="22" s="1"/>
  <c r="K137" i="4"/>
  <c r="L137" i="4" s="1"/>
  <c r="K134" i="4"/>
  <c r="L134" i="4" s="1"/>
  <c r="K127" i="4"/>
  <c r="L127" i="4" s="1"/>
  <c r="K128" i="4"/>
  <c r="L128" i="4" s="1"/>
  <c r="I65" i="4"/>
  <c r="I65" i="22" s="1"/>
  <c r="K66" i="4"/>
  <c r="L66" i="4" s="1"/>
  <c r="I59" i="4"/>
  <c r="I59" i="22" s="1"/>
  <c r="K60" i="4"/>
  <c r="L60" i="4" s="1"/>
  <c r="I52" i="4"/>
  <c r="I52" i="22" s="1"/>
  <c r="I47" i="4"/>
  <c r="I47" i="22" s="1"/>
  <c r="K48" i="4"/>
  <c r="L48" i="4" s="1"/>
  <c r="K44" i="4"/>
  <c r="L44" i="4" s="1"/>
  <c r="K45" i="4"/>
  <c r="L45" i="4" s="1"/>
  <c r="I32" i="4"/>
  <c r="K33" i="4"/>
  <c r="L33" i="4" s="1"/>
  <c r="K495" i="15"/>
  <c r="L495" i="15" s="1"/>
  <c r="I494" i="15"/>
  <c r="I486" i="15"/>
  <c r="K487" i="15"/>
  <c r="L487" i="15" s="1"/>
  <c r="K483" i="15"/>
  <c r="L483" i="15" s="1"/>
  <c r="K484" i="15"/>
  <c r="L484" i="15" s="1"/>
  <c r="I480" i="15"/>
  <c r="K481" i="15"/>
  <c r="L481" i="15" s="1"/>
  <c r="I474" i="15"/>
  <c r="K475" i="15"/>
  <c r="L475" i="15" s="1"/>
  <c r="I392" i="15"/>
  <c r="I386" i="15"/>
  <c r="I339" i="15"/>
  <c r="K340" i="15"/>
  <c r="L340" i="15" s="1"/>
  <c r="I293" i="15"/>
  <c r="K294" i="15"/>
  <c r="L294" i="15" s="1"/>
  <c r="I256" i="15"/>
  <c r="I194" i="15"/>
  <c r="K195" i="15"/>
  <c r="L195" i="15" s="1"/>
  <c r="K127" i="15"/>
  <c r="L127" i="15" s="1"/>
  <c r="K128" i="15"/>
  <c r="L128" i="15" s="1"/>
  <c r="K172" i="15"/>
  <c r="L172" i="15" s="1"/>
  <c r="I102" i="15"/>
  <c r="K103" i="15"/>
  <c r="L103" i="15" s="1"/>
  <c r="K52" i="15"/>
  <c r="L52" i="15" s="1"/>
  <c r="I32" i="15"/>
  <c r="K33" i="15"/>
  <c r="L33" i="15" s="1"/>
  <c r="K29" i="15"/>
  <c r="L29" i="15" s="1"/>
  <c r="D472" i="4"/>
  <c r="F472" i="4"/>
  <c r="G472" i="4"/>
  <c r="D292" i="4"/>
  <c r="F292" i="4"/>
  <c r="H339" i="15"/>
  <c r="F472" i="15"/>
  <c r="E191" i="15"/>
  <c r="G472" i="15"/>
  <c r="E472" i="15"/>
  <c r="K265" i="17"/>
  <c r="L265" i="17" s="1"/>
  <c r="I338" i="17"/>
  <c r="I473" i="17" s="1"/>
  <c r="I292" i="17"/>
  <c r="I172" i="17"/>
  <c r="I191" i="17" s="1"/>
  <c r="I494" i="17"/>
  <c r="K28" i="17"/>
  <c r="L28" i="17" s="1"/>
  <c r="I483" i="17"/>
  <c r="I497" i="22"/>
  <c r="E122" i="15"/>
  <c r="H292" i="4"/>
  <c r="G292" i="4"/>
  <c r="D472" i="15"/>
  <c r="D191" i="15"/>
  <c r="D338" i="4"/>
  <c r="H338" i="4"/>
  <c r="F338" i="4"/>
  <c r="G338" i="4"/>
  <c r="D191" i="4"/>
  <c r="E293" i="4"/>
  <c r="D28" i="4"/>
  <c r="D29" i="4"/>
  <c r="D29" i="22" s="1"/>
  <c r="E414" i="4"/>
  <c r="E414" i="22" s="1"/>
  <c r="E419" i="4"/>
  <c r="E419" i="22" s="1"/>
  <c r="K419" i="22" s="1"/>
  <c r="L419" i="22" s="1"/>
  <c r="E239" i="4"/>
  <c r="E261" i="4"/>
  <c r="E261" i="22" s="1"/>
  <c r="K261" i="22" s="1"/>
  <c r="L261" i="22" s="1"/>
  <c r="E257" i="4"/>
  <c r="G5" i="4"/>
  <c r="G5" i="22" s="1"/>
  <c r="J270" i="22" l="1"/>
  <c r="I194" i="22"/>
  <c r="K32" i="15"/>
  <c r="L32" i="15" s="1"/>
  <c r="K194" i="17"/>
  <c r="L194" i="17" s="1"/>
  <c r="I493" i="17"/>
  <c r="J339" i="15"/>
  <c r="H339" i="17"/>
  <c r="H472" i="17" s="1"/>
  <c r="I122" i="4"/>
  <c r="I191" i="4"/>
  <c r="I191" i="22" s="1"/>
  <c r="J339" i="17"/>
  <c r="K341" i="17"/>
  <c r="L341" i="17" s="1"/>
  <c r="I102" i="22"/>
  <c r="K29" i="22"/>
  <c r="L29" i="22" s="1"/>
  <c r="D472" i="22"/>
  <c r="D28" i="22"/>
  <c r="K28" i="22" s="1"/>
  <c r="L28" i="22" s="1"/>
  <c r="F122" i="22"/>
  <c r="K47" i="22"/>
  <c r="L47" i="22" s="1"/>
  <c r="K136" i="22"/>
  <c r="L136" i="22" s="1"/>
  <c r="I32" i="22"/>
  <c r="I483" i="22"/>
  <c r="G472" i="22"/>
  <c r="I293" i="22"/>
  <c r="K293" i="22" s="1"/>
  <c r="K151" i="22"/>
  <c r="L151" i="22" s="1"/>
  <c r="F191" i="22"/>
  <c r="K59" i="22"/>
  <c r="L59" i="22" s="1"/>
  <c r="G191" i="22"/>
  <c r="K127" i="22"/>
  <c r="L127" i="22" s="1"/>
  <c r="K44" i="22"/>
  <c r="L44" i="22" s="1"/>
  <c r="I386" i="22"/>
  <c r="K65" i="22"/>
  <c r="L65" i="22" s="1"/>
  <c r="I172" i="22"/>
  <c r="I494" i="22"/>
  <c r="K133" i="22"/>
  <c r="L133" i="22" s="1"/>
  <c r="K293" i="4"/>
  <c r="E293" i="22"/>
  <c r="H122" i="22"/>
  <c r="E257" i="22"/>
  <c r="K257" i="22" s="1"/>
  <c r="L257" i="22" s="1"/>
  <c r="H191" i="22"/>
  <c r="I339" i="22"/>
  <c r="I474" i="22"/>
  <c r="I486" i="22"/>
  <c r="I392" i="22"/>
  <c r="K239" i="4"/>
  <c r="L239" i="4" s="1"/>
  <c r="E239" i="22"/>
  <c r="K239" i="22" s="1"/>
  <c r="L239" i="22" s="1"/>
  <c r="K430" i="4"/>
  <c r="L430" i="4" s="1"/>
  <c r="E430" i="22"/>
  <c r="K430" i="22" s="1"/>
  <c r="L430" i="22" s="1"/>
  <c r="K147" i="22"/>
  <c r="L147" i="22" s="1"/>
  <c r="D191" i="22"/>
  <c r="I480" i="22"/>
  <c r="H194" i="22"/>
  <c r="K52" i="22"/>
  <c r="L52" i="22" s="1"/>
  <c r="H392" i="22"/>
  <c r="K143" i="22"/>
  <c r="L143" i="22" s="1"/>
  <c r="F472" i="22"/>
  <c r="E191" i="22"/>
  <c r="K414" i="22"/>
  <c r="L414" i="22" s="1"/>
  <c r="E122" i="22"/>
  <c r="H293" i="22"/>
  <c r="K494" i="15"/>
  <c r="L494" i="15" s="1"/>
  <c r="K147" i="4"/>
  <c r="L147" i="4" s="1"/>
  <c r="K480" i="15"/>
  <c r="L480" i="15" s="1"/>
  <c r="K136" i="4"/>
  <c r="L136" i="4" s="1"/>
  <c r="K494" i="4"/>
  <c r="L494" i="4" s="1"/>
  <c r="K191" i="17"/>
  <c r="L191" i="17" s="1"/>
  <c r="K483" i="17"/>
  <c r="L483" i="17" s="1"/>
  <c r="K293" i="17"/>
  <c r="K486" i="15"/>
  <c r="L486" i="15" s="1"/>
  <c r="K32" i="4"/>
  <c r="L32" i="4" s="1"/>
  <c r="K494" i="17"/>
  <c r="L494" i="17" s="1"/>
  <c r="K261" i="4"/>
  <c r="L261" i="4" s="1"/>
  <c r="K419" i="4"/>
  <c r="L419" i="4" s="1"/>
  <c r="K474" i="4"/>
  <c r="L474" i="4" s="1"/>
  <c r="K414" i="4"/>
  <c r="L414" i="4" s="1"/>
  <c r="K47" i="4"/>
  <c r="L47" i="4" s="1"/>
  <c r="K65" i="4"/>
  <c r="L65" i="4" s="1"/>
  <c r="K151" i="4"/>
  <c r="L151" i="4" s="1"/>
  <c r="K172" i="17"/>
  <c r="L172" i="17" s="1"/>
  <c r="H472" i="15"/>
  <c r="K194" i="15"/>
  <c r="L194" i="15" s="1"/>
  <c r="K486" i="4"/>
  <c r="L486" i="4" s="1"/>
  <c r="K483" i="4"/>
  <c r="L483" i="4" s="1"/>
  <c r="K480" i="4"/>
  <c r="L480" i="4" s="1"/>
  <c r="K386" i="4"/>
  <c r="L386" i="4" s="1"/>
  <c r="I472" i="4"/>
  <c r="K172" i="4"/>
  <c r="L172" i="4" s="1"/>
  <c r="K59" i="4"/>
  <c r="L59" i="4" s="1"/>
  <c r="K52" i="4"/>
  <c r="L52" i="4" s="1"/>
  <c r="K28" i="4"/>
  <c r="L28" i="4" s="1"/>
  <c r="K474" i="15"/>
  <c r="K392" i="15"/>
  <c r="L392" i="15" s="1"/>
  <c r="K386" i="15"/>
  <c r="L386" i="15" s="1"/>
  <c r="K293" i="15"/>
  <c r="I472" i="15"/>
  <c r="I338" i="15"/>
  <c r="I473" i="15" s="1"/>
  <c r="I493" i="15" s="1"/>
  <c r="I292" i="15"/>
  <c r="K147" i="15"/>
  <c r="L147" i="15" s="1"/>
  <c r="K136" i="15"/>
  <c r="L136" i="15" s="1"/>
  <c r="K102" i="15"/>
  <c r="L102" i="15" s="1"/>
  <c r="K65" i="15"/>
  <c r="L65" i="15" s="1"/>
  <c r="K59" i="15"/>
  <c r="L59" i="15" s="1"/>
  <c r="K28" i="15"/>
  <c r="L28" i="15" s="1"/>
  <c r="E256" i="4"/>
  <c r="E194" i="4"/>
  <c r="K27" i="17"/>
  <c r="L27" i="17" s="1"/>
  <c r="D473" i="4"/>
  <c r="D493" i="4" s="1"/>
  <c r="F473" i="4"/>
  <c r="G473" i="4"/>
  <c r="G122" i="22"/>
  <c r="E392" i="4"/>
  <c r="D27" i="4"/>
  <c r="L293" i="15" l="1"/>
  <c r="L293" i="4"/>
  <c r="K270" i="22"/>
  <c r="L270" i="22" s="1"/>
  <c r="E194" i="22"/>
  <c r="L293" i="17"/>
  <c r="K339" i="15"/>
  <c r="K102" i="22"/>
  <c r="L102" i="22" s="1"/>
  <c r="K339" i="17"/>
  <c r="K32" i="22"/>
  <c r="L32" i="22" s="1"/>
  <c r="K483" i="22"/>
  <c r="L483" i="22" s="1"/>
  <c r="K480" i="22"/>
  <c r="L480" i="22" s="1"/>
  <c r="L293" i="22"/>
  <c r="K194" i="22"/>
  <c r="K172" i="22"/>
  <c r="L172" i="22" s="1"/>
  <c r="K474" i="22"/>
  <c r="L474" i="22" s="1"/>
  <c r="K486" i="22"/>
  <c r="L486" i="22" s="1"/>
  <c r="I472" i="22"/>
  <c r="K494" i="22"/>
  <c r="L494" i="22" s="1"/>
  <c r="K386" i="22"/>
  <c r="L386" i="22" s="1"/>
  <c r="K27" i="4"/>
  <c r="L27" i="4" s="1"/>
  <c r="D27" i="22"/>
  <c r="K27" i="22" s="1"/>
  <c r="L27" i="22" s="1"/>
  <c r="K392" i="4"/>
  <c r="E392" i="22"/>
  <c r="K392" i="22" s="1"/>
  <c r="L392" i="22" s="1"/>
  <c r="K191" i="22"/>
  <c r="L191" i="22" s="1"/>
  <c r="E338" i="4"/>
  <c r="I256" i="4"/>
  <c r="K257" i="4"/>
  <c r="L257" i="4" s="1"/>
  <c r="E292" i="4"/>
  <c r="K194" i="4"/>
  <c r="L194" i="4" s="1"/>
  <c r="K191" i="4"/>
  <c r="L191" i="4" s="1"/>
  <c r="K29" i="4"/>
  <c r="L29" i="4" s="1"/>
  <c r="K191" i="15"/>
  <c r="L191" i="15" s="1"/>
  <c r="K27" i="15"/>
  <c r="L27" i="15" s="1"/>
  <c r="E472" i="4"/>
  <c r="D26" i="4"/>
  <c r="K26" i="17"/>
  <c r="L26" i="17" s="1"/>
  <c r="F493" i="4"/>
  <c r="G493" i="4"/>
  <c r="L194" i="22" l="1"/>
  <c r="L339" i="15"/>
  <c r="K472" i="15"/>
  <c r="L472" i="15" s="1"/>
  <c r="L392" i="4"/>
  <c r="L339" i="17"/>
  <c r="L472" i="17"/>
  <c r="K26" i="4"/>
  <c r="L26" i="4" s="1"/>
  <c r="D26" i="22"/>
  <c r="K26" i="22" s="1"/>
  <c r="L26" i="22" s="1"/>
  <c r="K256" i="4"/>
  <c r="I256" i="22"/>
  <c r="E472" i="22"/>
  <c r="E473" i="4"/>
  <c r="I338" i="4"/>
  <c r="I292" i="4"/>
  <c r="K26" i="15"/>
  <c r="L26" i="15" s="1"/>
  <c r="D25" i="4"/>
  <c r="K25" i="17"/>
  <c r="L25" i="17" s="1"/>
  <c r="L256" i="4" l="1"/>
  <c r="K338" i="4"/>
  <c r="L338" i="4" s="1"/>
  <c r="K292" i="4"/>
  <c r="K25" i="4"/>
  <c r="L25" i="4" s="1"/>
  <c r="D25" i="22"/>
  <c r="K25" i="22" s="1"/>
  <c r="L25" i="22" s="1"/>
  <c r="I292" i="22"/>
  <c r="I473" i="4"/>
  <c r="I338" i="22"/>
  <c r="E493" i="4"/>
  <c r="K25" i="15"/>
  <c r="L25" i="15" s="1"/>
  <c r="D24" i="4"/>
  <c r="K24" i="17"/>
  <c r="L24" i="17" s="1"/>
  <c r="L292" i="4" l="1"/>
  <c r="K24" i="4"/>
  <c r="L24" i="4" s="1"/>
  <c r="D24" i="22"/>
  <c r="K24" i="22" s="1"/>
  <c r="L24" i="22" s="1"/>
  <c r="I493" i="4"/>
  <c r="I473" i="22"/>
  <c r="K24" i="15"/>
  <c r="L24" i="15" s="1"/>
  <c r="D23" i="4"/>
  <c r="K23" i="17"/>
  <c r="L23" i="17" s="1"/>
  <c r="I493" i="22" l="1"/>
  <c r="K23" i="4"/>
  <c r="L23" i="4" s="1"/>
  <c r="D23" i="22"/>
  <c r="K23" i="22" s="1"/>
  <c r="L23" i="22" s="1"/>
  <c r="K23" i="15"/>
  <c r="L23" i="15" s="1"/>
  <c r="D22" i="4"/>
  <c r="K22" i="17"/>
  <c r="L22" i="17" s="1"/>
  <c r="K22" i="4" l="1"/>
  <c r="L22" i="4" s="1"/>
  <c r="D22" i="22"/>
  <c r="K22" i="22" s="1"/>
  <c r="L22" i="22" s="1"/>
  <c r="K22" i="15"/>
  <c r="L22" i="15" s="1"/>
  <c r="D21" i="4"/>
  <c r="K21" i="17"/>
  <c r="L21" i="17" s="1"/>
  <c r="K21" i="4" l="1"/>
  <c r="L21" i="4" s="1"/>
  <c r="D21" i="22"/>
  <c r="K21" i="22" s="1"/>
  <c r="L21" i="22" s="1"/>
  <c r="K21" i="15"/>
  <c r="L21" i="15" s="1"/>
  <c r="D20" i="4"/>
  <c r="K20" i="17"/>
  <c r="L20" i="17" s="1"/>
  <c r="K20" i="4" l="1"/>
  <c r="L20" i="4" s="1"/>
  <c r="D20" i="22"/>
  <c r="K20" i="22" s="1"/>
  <c r="L20" i="22" s="1"/>
  <c r="K20" i="15"/>
  <c r="L20" i="15" s="1"/>
  <c r="D19" i="4"/>
  <c r="K19" i="17"/>
  <c r="L19" i="17" s="1"/>
  <c r="K19" i="4" l="1"/>
  <c r="L19" i="4" s="1"/>
  <c r="D19" i="22"/>
  <c r="K19" i="22" s="1"/>
  <c r="L19" i="22" s="1"/>
  <c r="K19" i="15"/>
  <c r="L19" i="15" s="1"/>
  <c r="D18" i="4"/>
  <c r="K18" i="17"/>
  <c r="L18" i="17" s="1"/>
  <c r="D14" i="17" l="1"/>
  <c r="D122" i="17" s="1"/>
  <c r="K18" i="4"/>
  <c r="L18" i="4" s="1"/>
  <c r="D18" i="22"/>
  <c r="K18" i="22" s="1"/>
  <c r="L18" i="22" s="1"/>
  <c r="K18" i="15"/>
  <c r="L18" i="15" s="1"/>
  <c r="D17" i="4"/>
  <c r="K17" i="17"/>
  <c r="L17" i="17" s="1"/>
  <c r="K17" i="4" l="1"/>
  <c r="L17" i="4" s="1"/>
  <c r="D17" i="22"/>
  <c r="K17" i="22" s="1"/>
  <c r="L17" i="22" s="1"/>
  <c r="D14" i="15"/>
  <c r="I14" i="15"/>
  <c r="K17" i="15"/>
  <c r="L17" i="15" s="1"/>
  <c r="D16" i="4"/>
  <c r="K16" i="17"/>
  <c r="L16" i="17" s="1"/>
  <c r="I14" i="22" l="1"/>
  <c r="I122" i="15"/>
  <c r="K16" i="4"/>
  <c r="L16" i="4" s="1"/>
  <c r="D16" i="22"/>
  <c r="K16" i="22" s="1"/>
  <c r="L16" i="22" s="1"/>
  <c r="K16" i="15"/>
  <c r="L16" i="15" s="1"/>
  <c r="D15" i="4"/>
  <c r="K15" i="17"/>
  <c r="L15" i="17" s="1"/>
  <c r="K15" i="4" l="1"/>
  <c r="L15" i="4" s="1"/>
  <c r="D15" i="22"/>
  <c r="K15" i="22" s="1"/>
  <c r="L15" i="22" s="1"/>
  <c r="K15" i="15"/>
  <c r="L15" i="15" s="1"/>
  <c r="D14" i="4"/>
  <c r="L14" i="4" l="1"/>
  <c r="D14" i="22"/>
  <c r="K14" i="22" s="1"/>
  <c r="L14" i="22" s="1"/>
  <c r="K14" i="15"/>
  <c r="L14" i="15" s="1"/>
  <c r="K14" i="17" l="1"/>
  <c r="L14" i="17" s="1"/>
  <c r="K13" i="15"/>
  <c r="L13" i="15" s="1"/>
  <c r="K12" i="15" l="1"/>
  <c r="L12" i="15" s="1"/>
  <c r="K11" i="15" l="1"/>
  <c r="L11" i="15" s="1"/>
  <c r="K10" i="15" l="1"/>
  <c r="L10" i="15" s="1"/>
  <c r="I5" i="15" l="1"/>
  <c r="K9" i="15"/>
  <c r="L9" i="15" s="1"/>
  <c r="I122" i="22" l="1"/>
  <c r="I5" i="22"/>
  <c r="K8" i="15"/>
  <c r="L8" i="15" s="1"/>
  <c r="K7" i="15" l="1"/>
  <c r="L7" i="15" s="1"/>
  <c r="K6" i="15" l="1"/>
  <c r="L6" i="15" s="1"/>
  <c r="D5" i="15"/>
  <c r="D5" i="4"/>
  <c r="D5" i="22" l="1"/>
  <c r="K5" i="4"/>
  <c r="L5" i="4" s="1"/>
  <c r="K5" i="15"/>
  <c r="L5" i="15" s="1"/>
  <c r="D122" i="15"/>
  <c r="K5" i="17"/>
  <c r="L5" i="17" s="1"/>
  <c r="D122" i="4"/>
  <c r="K122" i="17"/>
  <c r="L122" i="17" s="1"/>
  <c r="D122" i="22" l="1"/>
  <c r="K122" i="22" s="1"/>
  <c r="L122" i="22" s="1"/>
  <c r="K5" i="22"/>
  <c r="L5" i="22" s="1"/>
  <c r="K122" i="4" l="1"/>
  <c r="L122" i="4" s="1"/>
  <c r="K122" i="15"/>
  <c r="L122" i="15" s="1"/>
  <c r="H341" i="22" l="1"/>
  <c r="J341" i="22" s="1"/>
  <c r="H339" i="4"/>
  <c r="H472" i="4" s="1"/>
  <c r="J341" i="4"/>
  <c r="J339" i="22" l="1"/>
  <c r="K339" i="22" s="1"/>
  <c r="K341" i="22"/>
  <c r="L341" i="22" s="1"/>
  <c r="J340" i="22"/>
  <c r="K340" i="22" s="1"/>
  <c r="L340" i="22" s="1"/>
  <c r="K341" i="4"/>
  <c r="L341" i="4" s="1"/>
  <c r="J339" i="4"/>
  <c r="K339" i="4" s="1"/>
  <c r="H473" i="4"/>
  <c r="H472" i="22"/>
  <c r="H339" i="22"/>
  <c r="K473" i="4" l="1"/>
  <c r="K472" i="4"/>
  <c r="L339" i="4"/>
  <c r="L339" i="22"/>
  <c r="H493" i="4"/>
  <c r="K472" i="22" l="1"/>
  <c r="L472" i="22" s="1"/>
  <c r="L472" i="4"/>
  <c r="K493" i="4"/>
  <c r="L473" i="4"/>
  <c r="K256" i="17"/>
  <c r="H271" i="17"/>
  <c r="H256" i="17" s="1"/>
  <c r="F271" i="17"/>
  <c r="F256" i="17" s="1"/>
  <c r="E271" i="17"/>
  <c r="E256" i="17" s="1"/>
  <c r="G271" i="17"/>
  <c r="G256" i="17" s="1"/>
  <c r="K271" i="17"/>
  <c r="D271" i="17"/>
  <c r="D256" i="17" s="1"/>
  <c r="K497" i="4" l="1"/>
  <c r="L497" i="4" s="1"/>
  <c r="L493" i="4"/>
  <c r="K292" i="17"/>
  <c r="K338" i="17"/>
  <c r="K473" i="17" s="1"/>
  <c r="K493" i="17" s="1"/>
  <c r="K497" i="17" s="1"/>
  <c r="L497" i="17" s="1"/>
  <c r="D292" i="17"/>
  <c r="L256" i="17"/>
  <c r="D338" i="17"/>
  <c r="D473" i="17" s="1"/>
  <c r="L271" i="17"/>
  <c r="G292" i="17"/>
  <c r="G338" i="17"/>
  <c r="G473" i="17" s="1"/>
  <c r="E292" i="17"/>
  <c r="E338" i="17"/>
  <c r="E473" i="17" s="1"/>
  <c r="F292" i="17"/>
  <c r="F338" i="17"/>
  <c r="F473" i="17" s="1"/>
  <c r="H292" i="17"/>
  <c r="H338" i="17"/>
  <c r="H473" i="17" s="1"/>
  <c r="L292" i="17" l="1"/>
  <c r="L338" i="17"/>
  <c r="L473" i="17" s="1"/>
  <c r="D493" i="17" l="1"/>
  <c r="G493" i="17"/>
  <c r="E493" i="17"/>
  <c r="F493" i="17"/>
  <c r="H493" i="17"/>
  <c r="L493" i="17" l="1"/>
  <c r="K256" i="15"/>
  <c r="H271" i="15"/>
  <c r="H271" i="22" s="1"/>
  <c r="E271" i="15"/>
  <c r="E256" i="15" s="1"/>
  <c r="F271" i="15"/>
  <c r="F256" i="15" s="1"/>
  <c r="G271" i="15"/>
  <c r="G256" i="15" s="1"/>
  <c r="K271" i="15"/>
  <c r="D271" i="15"/>
  <c r="D256" i="15" s="1"/>
  <c r="G271" i="22" l="1"/>
  <c r="D271" i="22"/>
  <c r="H256" i="15"/>
  <c r="H256" i="22" s="1"/>
  <c r="E271" i="22"/>
  <c r="F271" i="22"/>
  <c r="K338" i="15"/>
  <c r="K292" i="15"/>
  <c r="K292" i="22" s="1"/>
  <c r="D292" i="15"/>
  <c r="D338" i="15"/>
  <c r="D473" i="15" s="1"/>
  <c r="D256" i="22"/>
  <c r="L271" i="15"/>
  <c r="G292" i="15"/>
  <c r="G292" i="22" s="1"/>
  <c r="G338" i="15"/>
  <c r="G256" i="22"/>
  <c r="F292" i="15"/>
  <c r="F292" i="22" s="1"/>
  <c r="F338" i="15"/>
  <c r="F256" i="22"/>
  <c r="E292" i="15"/>
  <c r="E292" i="22" s="1"/>
  <c r="E338" i="15"/>
  <c r="E256" i="22"/>
  <c r="H292" i="15"/>
  <c r="H292" i="22" s="1"/>
  <c r="H338" i="15"/>
  <c r="L256" i="15"/>
  <c r="J271" i="22" l="1"/>
  <c r="J256" i="22" s="1"/>
  <c r="K473" i="15"/>
  <c r="K473" i="22" s="1"/>
  <c r="K338" i="22"/>
  <c r="H473" i="15"/>
  <c r="H493" i="15" s="1"/>
  <c r="H338" i="22"/>
  <c r="E473" i="15"/>
  <c r="E338" i="22"/>
  <c r="F473" i="15"/>
  <c r="F338" i="22"/>
  <c r="G473" i="15"/>
  <c r="G493" i="15" s="1"/>
  <c r="G338" i="22"/>
  <c r="D338" i="22"/>
  <c r="L338" i="15"/>
  <c r="D292" i="22"/>
  <c r="L292" i="22" s="1"/>
  <c r="L292" i="15"/>
  <c r="K271" i="22" l="1"/>
  <c r="L271" i="22" s="1"/>
  <c r="K493" i="15"/>
  <c r="K497" i="15" s="1"/>
  <c r="L497" i="15" s="1"/>
  <c r="L338" i="22"/>
  <c r="L473" i="15"/>
  <c r="L493" i="15" s="1"/>
  <c r="D493" i="15"/>
  <c r="D493" i="22" s="1"/>
  <c r="D473" i="22"/>
  <c r="G473" i="22"/>
  <c r="F493" i="15"/>
  <c r="F473" i="22"/>
  <c r="E493" i="15"/>
  <c r="E473" i="22"/>
  <c r="H473" i="22"/>
  <c r="K256" i="22"/>
  <c r="L256" i="22" s="1"/>
  <c r="K493" i="22" l="1"/>
  <c r="K497" i="22" s="1"/>
  <c r="L497" i="22" s="1"/>
  <c r="L473" i="22"/>
  <c r="H493" i="22"/>
  <c r="E493" i="22"/>
  <c r="F493" i="22"/>
  <c r="G493" i="22"/>
  <c r="L493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tc={C1C30887-840C-4590-AA6E-90F4C601223A}</author>
    <author>tc={768E4835-D805-4511-9E58-A19F842BDA0E}</author>
    <author>tc={3A5259DD-DF37-4F09-BD7A-EA6A5E32195A}</author>
    <author>tc={C41E01D6-2042-4C41-BF93-FD0BB5E2A5D1}</author>
    <author>tc={C305F593-E177-4239-898F-B29465D2DB15}</author>
    <author>tc={E6D168E9-AD07-4B5C-9892-6441D683A340}</author>
    <author>tc={7F9CA739-8690-4525-925D-4FEA20C056CF}</author>
    <author>tc={FC24FA10-1E53-4427-9BB2-99438C481790}</author>
    <author>tc={7ED50062-EC7E-491F-92BA-0D2ECA6312D9}</author>
    <author>tc={6CAF49E3-3652-417D-9679-D6A5B3193A02}</author>
    <author>tc={010BBA0D-59F2-446E-9FC8-3DAB5619D151}</author>
    <author>tc={FA6144AA-222E-4932-9DD6-DD6CAF906C95}</author>
  </authors>
  <commentList>
    <comment ref="D1" authorId="0" shapeId="0" xr:uid="{C1C30887-840C-4590-AA6E-90F4C601223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Forventet økning i KPI (SSB)</t>
      </text>
    </comment>
    <comment ref="D28" authorId="1" shapeId="0" xr:uid="{768E4835-D805-4511-9E58-A19F842BDA0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ligger det et potensial med økt markedsføring av hyttene. Ligger langt under Tønsberg/Sandefjord/Larvik</t>
      </text>
    </comment>
    <comment ref="F67" authorId="2" shapeId="0" xr:uid="{3A5259DD-DF37-4F09-BD7A-EA6A5E32195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Justert opp grunnet stor endring fra 2023-24</t>
      </text>
    </comment>
    <comment ref="J67" authorId="3" shapeId="0" xr:uid="{C41E01D6-2042-4C41-BF93-FD0BB5E2A5D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Forventet økning i lønnsmidler via tilskudd</t>
      </text>
    </comment>
    <comment ref="D68" authorId="4" shapeId="0" xr:uid="{C305F593-E177-4239-898F-B29465D2DB1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Økt da mange av kostnadene til hytte og utstyr kan finansieres gjennom tilskuddsmidler</t>
      </text>
    </comment>
    <comment ref="F75" authorId="5" shapeId="0" xr:uid="{E6D168E9-AD07-4B5C-9892-6441D683A340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Justert opp grunnet stor endring i 2024
</t>
      </text>
    </comment>
    <comment ref="D83" authorId="6" shapeId="0" xr:uid="{7F9CA739-8690-4525-925D-4FEA20C056C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Flyttet til konto 3070</t>
      </text>
    </comment>
    <comment ref="H150" authorId="7" shapeId="0" xr:uid="{FC24FA10-1E53-4427-9BB2-99438C48179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Justert opp grunnet nyansettelse 50%</t>
      </text>
    </comment>
    <comment ref="F151" authorId="8" shapeId="0" xr:uid="{7ED50062-EC7E-491F-92BA-0D2ECA6312D9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Justert opp grunnet nyansettelser. </t>
      </text>
    </comment>
    <comment ref="B237" authorId="9" shapeId="0" xr:uid="{6CAF49E3-3652-417D-9679-D6A5B3193A0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Reduseres fordi en ansatt skal jobbe med regnskap, og behovet for kjøp av tjenester blir mindre</t>
      </text>
    </comment>
    <comment ref="B257" authorId="10" shapeId="0" xr:uid="{010BBA0D-59F2-446E-9FC8-3DAB5619D15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Også hentet fra raden under, da det nok er feilført noe i Tønsberg</t>
      </text>
    </comment>
    <comment ref="F269" authorId="11" shapeId="0" xr:uid="{FA6144AA-222E-4932-9DD6-DD6CAF906C9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Reduseres grunnet stor endring i 24 og budsjett for 25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tc={79A3B2A8-7193-450B-89C7-9E6075F49EB9}</author>
  </authors>
  <commentList>
    <comment ref="B3" authorId="0" shapeId="0" xr:uid="{79A3B2A8-7193-450B-89C7-9E6075F49EB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Driftstilskudd VFK, Bufdir, DNB, Gjensidige</t>
      </text>
    </comment>
  </commentList>
</comments>
</file>

<file path=xl/sharedStrings.xml><?xml version="1.0" encoding="utf-8"?>
<sst xmlns="http://schemas.openxmlformats.org/spreadsheetml/2006/main" count="12322" uniqueCount="1329">
  <si>
    <t>Egenkapital</t>
  </si>
  <si>
    <t>Konto</t>
  </si>
  <si>
    <t>Navn</t>
  </si>
  <si>
    <t>1000</t>
  </si>
  <si>
    <t>Forskning og utvikling</t>
  </si>
  <si>
    <t>1020</t>
  </si>
  <si>
    <t>Konsesjoner</t>
  </si>
  <si>
    <t>1030</t>
  </si>
  <si>
    <t>Patenter</t>
  </si>
  <si>
    <t>1040</t>
  </si>
  <si>
    <t>Lisenser</t>
  </si>
  <si>
    <t>1041</t>
  </si>
  <si>
    <t>1050</t>
  </si>
  <si>
    <t>Varemerker</t>
  </si>
  <si>
    <t>1060</t>
  </si>
  <si>
    <t>Andre rettigheter</t>
  </si>
  <si>
    <t>1070</t>
  </si>
  <si>
    <t>Utsatt skattefordel</t>
  </si>
  <si>
    <t>1080</t>
  </si>
  <si>
    <t>Goodwill</t>
  </si>
  <si>
    <t>1100</t>
  </si>
  <si>
    <t>Bygninger og fast eiendom 1</t>
  </si>
  <si>
    <t>1101</t>
  </si>
  <si>
    <t>Bygninger og fast eiendom 2</t>
  </si>
  <si>
    <t>1102</t>
  </si>
  <si>
    <t>Bygninger og fast eiendom 3</t>
  </si>
  <si>
    <t>1103</t>
  </si>
  <si>
    <t>Bygninger og fast eiendom 4</t>
  </si>
  <si>
    <t>Bygninger og fast eiendom 5</t>
  </si>
  <si>
    <t>1105</t>
  </si>
  <si>
    <t>Bygninger og fast eiendom 6</t>
  </si>
  <si>
    <t>1106</t>
  </si>
  <si>
    <t>Bygninger og fast eiendom 7</t>
  </si>
  <si>
    <t>1107</t>
  </si>
  <si>
    <t>Bygninger og fast eiendom 8</t>
  </si>
  <si>
    <t>1110</t>
  </si>
  <si>
    <t>Fast teknisk installasjon i bygning</t>
  </si>
  <si>
    <t>1120</t>
  </si>
  <si>
    <t>Bygningsmessige anlegg</t>
  </si>
  <si>
    <t>1130</t>
  </si>
  <si>
    <t>Anlegg under utførelse</t>
  </si>
  <si>
    <t>1140</t>
  </si>
  <si>
    <t>Jord- og skogbrukseiendommer</t>
  </si>
  <si>
    <t>1150</t>
  </si>
  <si>
    <t>Tomter og andre grunnarealer</t>
  </si>
  <si>
    <t>1199</t>
  </si>
  <si>
    <t>Beregnede avskrivninger</t>
  </si>
  <si>
    <t>1200</t>
  </si>
  <si>
    <t>Maskiner og anlegg</t>
  </si>
  <si>
    <t>1210</t>
  </si>
  <si>
    <t>Maskiner og anlegg under utførelse</t>
  </si>
  <si>
    <t>1230</t>
  </si>
  <si>
    <t>Biler</t>
  </si>
  <si>
    <t>1240</t>
  </si>
  <si>
    <t>Andre transportmidler</t>
  </si>
  <si>
    <t>1250</t>
  </si>
  <si>
    <t>Inventar</t>
  </si>
  <si>
    <t>1260</t>
  </si>
  <si>
    <t>Fast bygningsinventar med annen avskrivningstid enn bygning</t>
  </si>
  <si>
    <t>1270</t>
  </si>
  <si>
    <t>Verktøy o.l.</t>
  </si>
  <si>
    <t>1280</t>
  </si>
  <si>
    <t>Kontormaskiner</t>
  </si>
  <si>
    <t>1300</t>
  </si>
  <si>
    <t>Investeringer i datterselskap</t>
  </si>
  <si>
    <t>1310</t>
  </si>
  <si>
    <t>Investeringer i annet foretak i samme konsern</t>
  </si>
  <si>
    <t>1320</t>
  </si>
  <si>
    <t>Lån til foretak i samme konsern</t>
  </si>
  <si>
    <t>1330</t>
  </si>
  <si>
    <t>Investering i tilknyttet selskap</t>
  </si>
  <si>
    <t>1340</t>
  </si>
  <si>
    <t>Lån til tilknyttet selskap og felles kontrollert virksomhet</t>
  </si>
  <si>
    <t>1350</t>
  </si>
  <si>
    <t>Investering i aksjer, andeler og verdipapir 1</t>
  </si>
  <si>
    <t>1351</t>
  </si>
  <si>
    <t>Investering i aksjer, andeler og verdipapir 2</t>
  </si>
  <si>
    <t>1370</t>
  </si>
  <si>
    <t>Fordringer på eiere, styremedlemmer og lignende</t>
  </si>
  <si>
    <t>1380</t>
  </si>
  <si>
    <t>Fordringer på ansatte</t>
  </si>
  <si>
    <t>1390</t>
  </si>
  <si>
    <t>Andre fordringer / depositum</t>
  </si>
  <si>
    <t>1391</t>
  </si>
  <si>
    <t>Deltaker.no - innestående buffer</t>
  </si>
  <si>
    <t>1400</t>
  </si>
  <si>
    <t>Råvarer og innkjøpte halvfabrikata</t>
  </si>
  <si>
    <t>1420</t>
  </si>
  <si>
    <t>Varer under tilvirkning</t>
  </si>
  <si>
    <t>1440</t>
  </si>
  <si>
    <t>Ferdige egentilvirkede varer</t>
  </si>
  <si>
    <t>1460</t>
  </si>
  <si>
    <t>Varebeholdning innkjøpte varer for videresalg</t>
  </si>
  <si>
    <t>1461</t>
  </si>
  <si>
    <t>Nedskriving varelager for ukurans</t>
  </si>
  <si>
    <t>1480</t>
  </si>
  <si>
    <t>Forskuddsbetaling til leverandører (varekontrakter/prosjekter)</t>
  </si>
  <si>
    <t>1500</t>
  </si>
  <si>
    <t>Kundefordringer</t>
  </si>
  <si>
    <t>1501</t>
  </si>
  <si>
    <t>Kundefordringer Støtter og Tilskudd</t>
  </si>
  <si>
    <t>1502</t>
  </si>
  <si>
    <t>Fordringer Visa, Vipps, Amex etc</t>
  </si>
  <si>
    <t>1503</t>
  </si>
  <si>
    <t>Uttak av varer til eget bruk</t>
  </si>
  <si>
    <t>1505</t>
  </si>
  <si>
    <t>Reskontro VisBook (tas i bruk v behov)</t>
  </si>
  <si>
    <t>1509</t>
  </si>
  <si>
    <t>Motkonto 1501 - utligning av fordringspost tilsagn</t>
  </si>
  <si>
    <t>1511</t>
  </si>
  <si>
    <t>Avregning resepsjon eksternt system</t>
  </si>
  <si>
    <t>1513</t>
  </si>
  <si>
    <t>1530</t>
  </si>
  <si>
    <t>Opptjent, ikke fakturert driftsinntekt</t>
  </si>
  <si>
    <t>1550</t>
  </si>
  <si>
    <t>Mellomregning - lokale turlag 1</t>
  </si>
  <si>
    <t>1551</t>
  </si>
  <si>
    <t>Mellomregning - lokale turlag 2</t>
  </si>
  <si>
    <t>1552</t>
  </si>
  <si>
    <t>Mellomregning - lokale turlag 3</t>
  </si>
  <si>
    <t>1553</t>
  </si>
  <si>
    <t>Mellomregning - lokale turlag 4</t>
  </si>
  <si>
    <t>1554</t>
  </si>
  <si>
    <t>Mellomregning - lokale turlag 5</t>
  </si>
  <si>
    <t>1555</t>
  </si>
  <si>
    <t>Mellomregning - lokale turlag 6</t>
  </si>
  <si>
    <t>1556</t>
  </si>
  <si>
    <t>Mellomregning - lokale turlag 7</t>
  </si>
  <si>
    <t>1557</t>
  </si>
  <si>
    <t>Mellomregning - lokale turlag 8</t>
  </si>
  <si>
    <t>1558</t>
  </si>
  <si>
    <t>Mellomregning - lokale turlag 9</t>
  </si>
  <si>
    <t>1559</t>
  </si>
  <si>
    <t>Mellomregning - lokale turlag 10</t>
  </si>
  <si>
    <t>1560</t>
  </si>
  <si>
    <t>Andre fordringer på selskap i samme konsern</t>
  </si>
  <si>
    <t>1570</t>
  </si>
  <si>
    <t>Andre kortsiktige fordringer</t>
  </si>
  <si>
    <t>1572</t>
  </si>
  <si>
    <t>Lønns- og reiseforskuddforskudd</t>
  </si>
  <si>
    <t>1573</t>
  </si>
  <si>
    <t>Andre kortsiktige lån til ansatte</t>
  </si>
  <si>
    <t>1575</t>
  </si>
  <si>
    <t>Kredittsalg eksternt system</t>
  </si>
  <si>
    <t>1576</t>
  </si>
  <si>
    <t>1577</t>
  </si>
  <si>
    <t>1578</t>
  </si>
  <si>
    <t>1579</t>
  </si>
  <si>
    <t>Kredittsalg VisBook</t>
  </si>
  <si>
    <t>1580</t>
  </si>
  <si>
    <t>Avsetning tap på fordringer</t>
  </si>
  <si>
    <t>1670</t>
  </si>
  <si>
    <t>Krav på offentlige tilskudd</t>
  </si>
  <si>
    <t>1700</t>
  </si>
  <si>
    <t>Forskuddsbetalt leiekostnad</t>
  </si>
  <si>
    <t>1710</t>
  </si>
  <si>
    <t>Forskuddsbetalt rentekostnad</t>
  </si>
  <si>
    <t>1749</t>
  </si>
  <si>
    <t>Forskuddsbet kostnader</t>
  </si>
  <si>
    <t>1750</t>
  </si>
  <si>
    <t>Påløpt leieinntekt</t>
  </si>
  <si>
    <t>1755</t>
  </si>
  <si>
    <t>Påløpt inntekt - annet</t>
  </si>
  <si>
    <t>1760</t>
  </si>
  <si>
    <t>Påløpt renteinntekt</t>
  </si>
  <si>
    <t>1780</t>
  </si>
  <si>
    <t>Krav på innbetaling av selskapskapital</t>
  </si>
  <si>
    <t>1800</t>
  </si>
  <si>
    <t>Aksjer og andeler i foretak i samme konsern</t>
  </si>
  <si>
    <t>1810</t>
  </si>
  <si>
    <t>Markedsbaserte aksjer og verdipapirfondsandeler</t>
  </si>
  <si>
    <t>1820</t>
  </si>
  <si>
    <t>Andre aksjer</t>
  </si>
  <si>
    <t>1870</t>
  </si>
  <si>
    <t>Andre markedsbaserte finansielle instrumenter</t>
  </si>
  <si>
    <t>1900</t>
  </si>
  <si>
    <t>Kasse 1</t>
  </si>
  <si>
    <t>1901</t>
  </si>
  <si>
    <t>Kasse 2</t>
  </si>
  <si>
    <t>1902</t>
  </si>
  <si>
    <t>Kasse 3</t>
  </si>
  <si>
    <t>1903</t>
  </si>
  <si>
    <t>Kasse 4</t>
  </si>
  <si>
    <t>1904</t>
  </si>
  <si>
    <t>Kasse 5</t>
  </si>
  <si>
    <t>1905</t>
  </si>
  <si>
    <t>Kasse 6</t>
  </si>
  <si>
    <t>1906</t>
  </si>
  <si>
    <t>Kasse 7</t>
  </si>
  <si>
    <t>1915</t>
  </si>
  <si>
    <t>Gavekort andre foreninger, til viderefakturering</t>
  </si>
  <si>
    <t>1920</t>
  </si>
  <si>
    <t>Bank - hovedkonto drift</t>
  </si>
  <si>
    <t>1921</t>
  </si>
  <si>
    <t>Bank 1</t>
  </si>
  <si>
    <t>1922</t>
  </si>
  <si>
    <t>Bank  2</t>
  </si>
  <si>
    <t>1923</t>
  </si>
  <si>
    <t>Bank 3</t>
  </si>
  <si>
    <t>1924</t>
  </si>
  <si>
    <t>Bank  4</t>
  </si>
  <si>
    <t>1925</t>
  </si>
  <si>
    <t>Bank 5</t>
  </si>
  <si>
    <t>1926</t>
  </si>
  <si>
    <t>Bank 6</t>
  </si>
  <si>
    <t>1927</t>
  </si>
  <si>
    <t>Bank 7</t>
  </si>
  <si>
    <t>1928</t>
  </si>
  <si>
    <t>Bank 8</t>
  </si>
  <si>
    <t>1950</t>
  </si>
  <si>
    <t>Bank - skattetrekkskonto</t>
  </si>
  <si>
    <t>1959</t>
  </si>
  <si>
    <t>Bank - VisBook oppgjør</t>
  </si>
  <si>
    <t>2000</t>
  </si>
  <si>
    <t>2030</t>
  </si>
  <si>
    <t>Annen innskutt egenkapital</t>
  </si>
  <si>
    <t>2040</t>
  </si>
  <si>
    <t>Fond</t>
  </si>
  <si>
    <t>2050</t>
  </si>
  <si>
    <t>2080</t>
  </si>
  <si>
    <t xml:space="preserve">Udekket tap </t>
  </si>
  <si>
    <t>2100</t>
  </si>
  <si>
    <t>Pensjonsforpliktelser</t>
  </si>
  <si>
    <t>2120</t>
  </si>
  <si>
    <t>Utsatt skatt</t>
  </si>
  <si>
    <t>2180</t>
  </si>
  <si>
    <t>Andre avsetninger for forpliktelser</t>
  </si>
  <si>
    <t>2220</t>
  </si>
  <si>
    <t>Lån kredittinstitusjon 1</t>
  </si>
  <si>
    <t>2221</t>
  </si>
  <si>
    <t>Lån kredittinstitusjon 2</t>
  </si>
  <si>
    <t>2250</t>
  </si>
  <si>
    <t>Gjeld til ansatte og eiere</t>
  </si>
  <si>
    <t>2260</t>
  </si>
  <si>
    <t>Gjeld til selskap i samme konsern</t>
  </si>
  <si>
    <t>2280</t>
  </si>
  <si>
    <t>Stille interessentinnskudd og ansvarlig lånekapital</t>
  </si>
  <si>
    <t>2290</t>
  </si>
  <si>
    <t>Annen langsiktig gjeld 1</t>
  </si>
  <si>
    <t>2291</t>
  </si>
  <si>
    <t>Annen langsiktig gjeld 2</t>
  </si>
  <si>
    <t>2292</t>
  </si>
  <si>
    <t>Annen langsiktig gjeld 3</t>
  </si>
  <si>
    <t>2360</t>
  </si>
  <si>
    <t>Byggelån</t>
  </si>
  <si>
    <t>2380</t>
  </si>
  <si>
    <t>Kassakreditt</t>
  </si>
  <si>
    <t>2400</t>
  </si>
  <si>
    <t>Leverandørgjeld</t>
  </si>
  <si>
    <t>2500</t>
  </si>
  <si>
    <t>Betalbar skatt, ikke utlignet</t>
  </si>
  <si>
    <t>2510</t>
  </si>
  <si>
    <t>Betalbar skatt, utlignet</t>
  </si>
  <si>
    <t>2540</t>
  </si>
  <si>
    <t>Forskuddsskatt</t>
  </si>
  <si>
    <t>2600</t>
  </si>
  <si>
    <t>Forskuddstrekk</t>
  </si>
  <si>
    <t>2610</t>
  </si>
  <si>
    <t>Påleggstrekk</t>
  </si>
  <si>
    <t>2620</t>
  </si>
  <si>
    <t>Bidragstrekk</t>
  </si>
  <si>
    <t>2630</t>
  </si>
  <si>
    <t>Trygdetrekk</t>
  </si>
  <si>
    <t>2640</t>
  </si>
  <si>
    <t>Forsikringstrekk</t>
  </si>
  <si>
    <t>2650</t>
  </si>
  <si>
    <t>Trukket fagforeningskontingent</t>
  </si>
  <si>
    <t>2690</t>
  </si>
  <si>
    <t>Andre trekk</t>
  </si>
  <si>
    <t>2701</t>
  </si>
  <si>
    <t>Utgående merverdiavgift, høy sats</t>
  </si>
  <si>
    <t>2702</t>
  </si>
  <si>
    <t>Utgående merverdiavgift kjøp tjenester fra utlandet</t>
  </si>
  <si>
    <t>2703</t>
  </si>
  <si>
    <t>Utgående merverdiavgift, middels sats</t>
  </si>
  <si>
    <t>2704</t>
  </si>
  <si>
    <t>Utgående merverdiavgift, lav sats</t>
  </si>
  <si>
    <t>2711</t>
  </si>
  <si>
    <t>Inngående merverdiavgift, høy sats</t>
  </si>
  <si>
    <t>2712</t>
  </si>
  <si>
    <t>Inngående merverdiavgift kjøp tjenester fra utlandet</t>
  </si>
  <si>
    <t>2713</t>
  </si>
  <si>
    <t>Inngående merverdiavgift, middels sats</t>
  </si>
  <si>
    <t>2714</t>
  </si>
  <si>
    <t>Inngående merverdiavgift, lav sats</t>
  </si>
  <si>
    <t>2740</t>
  </si>
  <si>
    <t>Oppgjørskonto merverdiavgift</t>
  </si>
  <si>
    <t>2770</t>
  </si>
  <si>
    <t>Skyldig arbeidsgiveravgift</t>
  </si>
  <si>
    <t>2780</t>
  </si>
  <si>
    <t>Påløpt arbeidsgiveravgift</t>
  </si>
  <si>
    <t>2785</t>
  </si>
  <si>
    <t>Påløpt arbeidsgiveravgift feriepenger</t>
  </si>
  <si>
    <t>2790</t>
  </si>
  <si>
    <t>Andre offentlige avgifter</t>
  </si>
  <si>
    <t>2900</t>
  </si>
  <si>
    <t xml:space="preserve">Forskuddsbetaling fra kunder </t>
  </si>
  <si>
    <t>2905</t>
  </si>
  <si>
    <t>Forskudd fra kunder via VisBook</t>
  </si>
  <si>
    <t>2910</t>
  </si>
  <si>
    <t>2920</t>
  </si>
  <si>
    <t>2930</t>
  </si>
  <si>
    <t>Skyldig lønn</t>
  </si>
  <si>
    <t>2940</t>
  </si>
  <si>
    <t>Skyldige feriepenger</t>
  </si>
  <si>
    <t>2941</t>
  </si>
  <si>
    <t>Utbet. feriepenger i året</t>
  </si>
  <si>
    <t>2950</t>
  </si>
  <si>
    <t>Påløpt rente</t>
  </si>
  <si>
    <t>2960</t>
  </si>
  <si>
    <t xml:space="preserve">Påløpt kostnad </t>
  </si>
  <si>
    <t>2961</t>
  </si>
  <si>
    <t>Forskuddsbet. medl. kontingent DNT</t>
  </si>
  <si>
    <t>2965</t>
  </si>
  <si>
    <t>2967</t>
  </si>
  <si>
    <t>Forskudd fra kunder eksternt system 1</t>
  </si>
  <si>
    <t>2968</t>
  </si>
  <si>
    <t>Forskudd fra kunder eksternt system 2</t>
  </si>
  <si>
    <t>2969</t>
  </si>
  <si>
    <t>Forskudd fra kunder eksternt system 3</t>
  </si>
  <si>
    <t>2970</t>
  </si>
  <si>
    <t>Uopptjent inntekt</t>
  </si>
  <si>
    <t>2980</t>
  </si>
  <si>
    <t>Avsetning for forpliktelser</t>
  </si>
  <si>
    <t>2990</t>
  </si>
  <si>
    <t>Annen kortsiktig gjeld</t>
  </si>
  <si>
    <t>2999</t>
  </si>
  <si>
    <t>VisBook mellomkonto for avstemming</t>
  </si>
  <si>
    <t>3000</t>
  </si>
  <si>
    <t>Mat uten bevertning (inkl proviant hytter), middel sats</t>
  </si>
  <si>
    <t>3010</t>
  </si>
  <si>
    <t>Mat med bevertning, høy sats</t>
  </si>
  <si>
    <t>3011</t>
  </si>
  <si>
    <t>Kioskvarer, middel sats</t>
  </si>
  <si>
    <t>3012</t>
  </si>
  <si>
    <t>Tobakk, høy sats</t>
  </si>
  <si>
    <t>3013</t>
  </si>
  <si>
    <t>Mineralvann, middel sats</t>
  </si>
  <si>
    <t>3014</t>
  </si>
  <si>
    <t>Mineralvann spisested, høy sats</t>
  </si>
  <si>
    <t>3015</t>
  </si>
  <si>
    <t>Øl, høy sats</t>
  </si>
  <si>
    <t>3016</t>
  </si>
  <si>
    <t>Rusbrus, høy sats</t>
  </si>
  <si>
    <t>3017</t>
  </si>
  <si>
    <t>Vin, høy sats</t>
  </si>
  <si>
    <t>3018</t>
  </si>
  <si>
    <t>Brennevin, høy sats</t>
  </si>
  <si>
    <t>3019</t>
  </si>
  <si>
    <t>Souvenirer, høy sats</t>
  </si>
  <si>
    <t>3020</t>
  </si>
  <si>
    <t>Frimerker, høy sats</t>
  </si>
  <si>
    <t>3021</t>
  </si>
  <si>
    <t>Fiskekort/jaktkort, høy sats</t>
  </si>
  <si>
    <t>3022</t>
  </si>
  <si>
    <t>Transport, lav sats</t>
  </si>
  <si>
    <t>3030</t>
  </si>
  <si>
    <t>Barteravtaler - annonser, høy sats</t>
  </si>
  <si>
    <t>3031</t>
  </si>
  <si>
    <t>Sponsing/annonsestøtte m.m, høy sats</t>
  </si>
  <si>
    <t>3040</t>
  </si>
  <si>
    <t>Varesalg turbutikk/resepsjonsbutikker, høy sats</t>
  </si>
  <si>
    <t>3041</t>
  </si>
  <si>
    <t>Utleie utstyr, høy sats</t>
  </si>
  <si>
    <t>3042</t>
  </si>
  <si>
    <t>Kart, høy sats</t>
  </si>
  <si>
    <t>3043</t>
  </si>
  <si>
    <t>Boksalg, høy sats</t>
  </si>
  <si>
    <t>3044</t>
  </si>
  <si>
    <t>Andel DNT Netthandel</t>
  </si>
  <si>
    <t>3060</t>
  </si>
  <si>
    <t>Mat ansatte, høy sats</t>
  </si>
  <si>
    <t>3063</t>
  </si>
  <si>
    <t>Mat ansatte, middel sats</t>
  </si>
  <si>
    <t>3070</t>
  </si>
  <si>
    <t>3071</t>
  </si>
  <si>
    <t>Tilleggstjenester overnatting, høy sats</t>
  </si>
  <si>
    <t>3072</t>
  </si>
  <si>
    <t>Overnatting / losji, 33C lav avvikende sats</t>
  </si>
  <si>
    <t>3074</t>
  </si>
  <si>
    <t>Losji ansatte, lav sats</t>
  </si>
  <si>
    <t>3075</t>
  </si>
  <si>
    <t>Arrangementer/fellesturer, høy sats</t>
  </si>
  <si>
    <t>3076</t>
  </si>
  <si>
    <t>Arrangementer/fellesturer, middel sats</t>
  </si>
  <si>
    <t>3077</t>
  </si>
  <si>
    <t>Arrangementer/fellesturer, lav sats</t>
  </si>
  <si>
    <t>3078</t>
  </si>
  <si>
    <t>Arrangementer/fellesturer, avvikende lav sats</t>
  </si>
  <si>
    <t>3080</t>
  </si>
  <si>
    <t>Rabatt og annen salgsinntektsred., høy sats</t>
  </si>
  <si>
    <t>3095</t>
  </si>
  <si>
    <t>Utleie arbeidskraft/timer, høy sats</t>
  </si>
  <si>
    <t>3096</t>
  </si>
  <si>
    <t>Diverse salg, høy sats</t>
  </si>
  <si>
    <t>3098</t>
  </si>
  <si>
    <t>Diverse salg, lav sats</t>
  </si>
  <si>
    <t>3099</t>
  </si>
  <si>
    <t>Fakturagebyr / porto, høy sats</t>
  </si>
  <si>
    <t>3100</t>
  </si>
  <si>
    <t>Aviser, avgiftsfritt</t>
  </si>
  <si>
    <t>3101</t>
  </si>
  <si>
    <t>Boksalg, avgiftsfritt</t>
  </si>
  <si>
    <t>3102</t>
  </si>
  <si>
    <t>Fiskekort/jaktkort, avg fritt</t>
  </si>
  <si>
    <t>3103</t>
  </si>
  <si>
    <t>Dagsbesøk hytte, avgiftsfritt</t>
  </si>
  <si>
    <t>3105</t>
  </si>
  <si>
    <t>Arrangementer/fellesturer, avgiftsfritt</t>
  </si>
  <si>
    <t>3160</t>
  </si>
  <si>
    <t>Uttak av varer, avg fritt</t>
  </si>
  <si>
    <t>3199</t>
  </si>
  <si>
    <t>Diverse salg, avgiftsfritt</t>
  </si>
  <si>
    <t>3201</t>
  </si>
  <si>
    <t>Arrangementer/fellesturer, utenfor avgomr</t>
  </si>
  <si>
    <t>3202</t>
  </si>
  <si>
    <t>Kurs-inntekter, utenfor avgomr</t>
  </si>
  <si>
    <t>3203</t>
  </si>
  <si>
    <t>Sponsor- og annonseinntekt, utenfor avg omr</t>
  </si>
  <si>
    <t>3205</t>
  </si>
  <si>
    <t>Utleie arbeidskraft/timer, utenf avg omr</t>
  </si>
  <si>
    <t>3225</t>
  </si>
  <si>
    <t>Sherpa-filer inntekt arrangement, utenfor avgomr</t>
  </si>
  <si>
    <t>3230</t>
  </si>
  <si>
    <t>Proviant- og salg av mat, bevertning, utenf avg omr</t>
  </si>
  <si>
    <t>3240</t>
  </si>
  <si>
    <t>Varesalg turbutikk/resepsjonsbutikker, utenf avg omr</t>
  </si>
  <si>
    <t>3241</t>
  </si>
  <si>
    <t>Utleie utstyr, utenf avg omr</t>
  </si>
  <si>
    <t>3242</t>
  </si>
  <si>
    <t>Kart, utenf avg omr</t>
  </si>
  <si>
    <t>3243</t>
  </si>
  <si>
    <t>Boksalg, utenf avg omr</t>
  </si>
  <si>
    <t>3260</t>
  </si>
  <si>
    <t>Uttak av varer, utenf avg omr</t>
  </si>
  <si>
    <t>3265</t>
  </si>
  <si>
    <t>DNT-nøkkel (depositumsinntekt), utenfor avgomr</t>
  </si>
  <si>
    <t>3270</t>
  </si>
  <si>
    <t>Overnatting / losji, utenfor avg omr</t>
  </si>
  <si>
    <t>3271</t>
  </si>
  <si>
    <t>DNT Hytteapp-inntekter, utenfor avg omr</t>
  </si>
  <si>
    <t>3299</t>
  </si>
  <si>
    <t>Diverse salg, utenfor avgomr</t>
  </si>
  <si>
    <t>3400</t>
  </si>
  <si>
    <t>Driftstilskudd, tilskudd og stønader, utenf avg omr</t>
  </si>
  <si>
    <t>3401</t>
  </si>
  <si>
    <t>Tilskudd, avg pliktig høy sats</t>
  </si>
  <si>
    <t>3404</t>
  </si>
  <si>
    <t>Gaver (frdrber for giver) mottatt, utenf avg omr</t>
  </si>
  <si>
    <t>3405</t>
  </si>
  <si>
    <t>Investeringstilskudd, utenf avg omr</t>
  </si>
  <si>
    <t>3406</t>
  </si>
  <si>
    <t>Grasrotandel - Norsk Tipping, utenf avg omr</t>
  </si>
  <si>
    <t>3407</t>
  </si>
  <si>
    <t>Bingo- og loddsalgsinntekter - Lotteritilsynet, utenf avg omr</t>
  </si>
  <si>
    <t>Tilskudd kompensasjonsordning (Covid19), ingen mva-behandling</t>
  </si>
  <si>
    <t>3412</t>
  </si>
  <si>
    <t>Tilskudd - omfordelt Lokallag</t>
  </si>
  <si>
    <t>3450</t>
  </si>
  <si>
    <t>Kontingent - solgt via DNT, utenf avg omr</t>
  </si>
  <si>
    <t>3451</t>
  </si>
  <si>
    <t>Kontingent - solgt via egen forening/turlag, utenf avg omr</t>
  </si>
  <si>
    <t>3452</t>
  </si>
  <si>
    <t>Kontingent - utdelt Lokallag</t>
  </si>
  <si>
    <t>3560</t>
  </si>
  <si>
    <t>Periodisert inntekt, ekskl avgift</t>
  </si>
  <si>
    <t>3600</t>
  </si>
  <si>
    <t>Lokaler til utleie, utenfor avgomr</t>
  </si>
  <si>
    <t>3601</t>
  </si>
  <si>
    <t>Lokaler til utleie, lav sats</t>
  </si>
  <si>
    <t>3602</t>
  </si>
  <si>
    <t>Lokaler til utleie, høy sats</t>
  </si>
  <si>
    <t>3603</t>
  </si>
  <si>
    <t>Leieinntekter grunn, utenfor avg omr</t>
  </si>
  <si>
    <t>3610</t>
  </si>
  <si>
    <t>Leieinntekt andre varige driftsmidler, avgiftsfritt</t>
  </si>
  <si>
    <t>3620</t>
  </si>
  <si>
    <t>Annen leieinntekt, avgiftsfritt</t>
  </si>
  <si>
    <t>3700</t>
  </si>
  <si>
    <t>Momskomp/motposteringer</t>
  </si>
  <si>
    <t>3800</t>
  </si>
  <si>
    <t>Salg av anleggsmidler, avgiftsfritt</t>
  </si>
  <si>
    <t>3801</t>
  </si>
  <si>
    <t>Salg av anleggsmidler, utenfor avg omr</t>
  </si>
  <si>
    <t>3900</t>
  </si>
  <si>
    <t>Avbestillingsgebyr, ingen mva-behandling</t>
  </si>
  <si>
    <t>3901</t>
  </si>
  <si>
    <t>TIPS, utenfor avgomr</t>
  </si>
  <si>
    <t>3910</t>
  </si>
  <si>
    <t>Rabattavtaler og kundebonus, avgiftsfritt</t>
  </si>
  <si>
    <t>3915</t>
  </si>
  <si>
    <t>Kassedifferanser, høy sats</t>
  </si>
  <si>
    <t>3916</t>
  </si>
  <si>
    <t>Kassedifferanser, lav sats</t>
  </si>
  <si>
    <t>3920</t>
  </si>
  <si>
    <t>Formålskapital utdelt fra DNT</t>
  </si>
  <si>
    <t>3940</t>
  </si>
  <si>
    <t>Internomsetning, høy sats</t>
  </si>
  <si>
    <t>3941</t>
  </si>
  <si>
    <t>Internomsetning, middel sats</t>
  </si>
  <si>
    <t>3942</t>
  </si>
  <si>
    <t>Internomsetning, lav sats</t>
  </si>
  <si>
    <t>3943</t>
  </si>
  <si>
    <t>Internomsetning, utenfor avgomr</t>
  </si>
  <si>
    <t>4010</t>
  </si>
  <si>
    <t>Innkjøp proviant / mat til  matlaging, middel sats</t>
  </si>
  <si>
    <t>4011</t>
  </si>
  <si>
    <t>Sjokolade,is,frukt,snacks, middel sats</t>
  </si>
  <si>
    <t>4012</t>
  </si>
  <si>
    <t>4013</t>
  </si>
  <si>
    <t>4015</t>
  </si>
  <si>
    <t>4017</t>
  </si>
  <si>
    <t>4018</t>
  </si>
  <si>
    <t>4019</t>
  </si>
  <si>
    <t>4020</t>
  </si>
  <si>
    <t>Kjøp frimerker, høy sats</t>
  </si>
  <si>
    <t>4021</t>
  </si>
  <si>
    <t>Jakt/fiskekort, høy sats/avgfritt</t>
  </si>
  <si>
    <t>4040</t>
  </si>
  <si>
    <t>Varekjøp - for videresalg, høy sats</t>
  </si>
  <si>
    <t>4041</t>
  </si>
  <si>
    <t>Varekjøp - for utleie, høy sats</t>
  </si>
  <si>
    <t>4042</t>
  </si>
  <si>
    <t>4043</t>
  </si>
  <si>
    <t>Bøker, høy sats</t>
  </si>
  <si>
    <t>4060</t>
  </si>
  <si>
    <t>Toll og spedisjon, høy sats</t>
  </si>
  <si>
    <t>4096</t>
  </si>
  <si>
    <t>Diverse, høy sats</t>
  </si>
  <si>
    <t>4099</t>
  </si>
  <si>
    <t>Flasker/pant, avgiftsfritt</t>
  </si>
  <si>
    <t>4100</t>
  </si>
  <si>
    <t>Aviser/bøker, avgiftsfritt</t>
  </si>
  <si>
    <t>4200</t>
  </si>
  <si>
    <t>Innkjøp ferdig egentilvirkede varer</t>
  </si>
  <si>
    <t>4230</t>
  </si>
  <si>
    <t>Arrangementskostnad fellesturer annet, avgiftsfritt</t>
  </si>
  <si>
    <t>4231</t>
  </si>
  <si>
    <t>Arrangementskostnad fellesturer losji og transport, lav sats</t>
  </si>
  <si>
    <t>4232</t>
  </si>
  <si>
    <t>Arrangementskostnad fellesturer mat, middel sats</t>
  </si>
  <si>
    <t>4233</t>
  </si>
  <si>
    <t>Arrangementskostnad fellesturer annet, høy sats</t>
  </si>
  <si>
    <t>4234</t>
  </si>
  <si>
    <t>Arrangementskostnad fellesturer annet, utenf avgomr</t>
  </si>
  <si>
    <t>4235</t>
  </si>
  <si>
    <t>Kurs og opplæring for frivillige</t>
  </si>
  <si>
    <t>4236</t>
  </si>
  <si>
    <t>Samlinger og sosiale tiltak for frivillige</t>
  </si>
  <si>
    <t>4240</t>
  </si>
  <si>
    <t>Gratis arrangement / dugnad, vareforbruk / bespisning, avg fritt</t>
  </si>
  <si>
    <t>4270</t>
  </si>
  <si>
    <t>Rabatter og innkjøpsprisreduksjon, avgiftsfritt</t>
  </si>
  <si>
    <t>4290</t>
  </si>
  <si>
    <t>Internt varekjøp, høy sats</t>
  </si>
  <si>
    <t>4291</t>
  </si>
  <si>
    <t>Internt varekjøp , middel sats</t>
  </si>
  <si>
    <t>4292</t>
  </si>
  <si>
    <t>Internt varekjøp , lav sats</t>
  </si>
  <si>
    <t>4293</t>
  </si>
  <si>
    <t>Internt varekjøp, avgiftsfritt</t>
  </si>
  <si>
    <t>4299</t>
  </si>
  <si>
    <t>Internt varekjøp, tilbakeføring</t>
  </si>
  <si>
    <t>4350</t>
  </si>
  <si>
    <t>Svinn, tap</t>
  </si>
  <si>
    <t>4360</t>
  </si>
  <si>
    <t>Frakt på varer for videresalg</t>
  </si>
  <si>
    <t>4370</t>
  </si>
  <si>
    <t>4380</t>
  </si>
  <si>
    <t>Innførselsmerverdiavgift høy sats - debet</t>
  </si>
  <si>
    <t>4381</t>
  </si>
  <si>
    <t>Innførselsmerverdiavgift høy sats - motkonto</t>
  </si>
  <si>
    <t>4382</t>
  </si>
  <si>
    <t>Innførselsmerverdiavgift middels sats - debet</t>
  </si>
  <si>
    <t>4383</t>
  </si>
  <si>
    <t>Innførselsmerverdiavgift middels sats - motkonto</t>
  </si>
  <si>
    <t>4390</t>
  </si>
  <si>
    <t>Beholdningsendring</t>
  </si>
  <si>
    <t>4500</t>
  </si>
  <si>
    <t>Fremmedytelse og underentreprise</t>
  </si>
  <si>
    <t>4600</t>
  </si>
  <si>
    <t>Emballasje, høy sats</t>
  </si>
  <si>
    <t>4900</t>
  </si>
  <si>
    <t>Annen periodisering</t>
  </si>
  <si>
    <t>5000</t>
  </si>
  <si>
    <t>Lønn til ansatte</t>
  </si>
  <si>
    <t>5010</t>
  </si>
  <si>
    <t>Godtgjørelse frivillighetsarbeid (&lt; 9 999,-)</t>
  </si>
  <si>
    <t>5020</t>
  </si>
  <si>
    <t>Bonus/honorar  inkl. feriepenger</t>
  </si>
  <si>
    <t>5025</t>
  </si>
  <si>
    <t>Tips lønnskjørt</t>
  </si>
  <si>
    <t>5090</t>
  </si>
  <si>
    <t>Periodiseringskonto lønn</t>
  </si>
  <si>
    <t>5092</t>
  </si>
  <si>
    <t>Feriepenger</t>
  </si>
  <si>
    <t>5093</t>
  </si>
  <si>
    <t>Feriepenger over 60 år</t>
  </si>
  <si>
    <t>5200</t>
  </si>
  <si>
    <t>Fri bil</t>
  </si>
  <si>
    <t>5210</t>
  </si>
  <si>
    <t>Fri telefon</t>
  </si>
  <si>
    <t>5220</t>
  </si>
  <si>
    <t>Fri avis</t>
  </si>
  <si>
    <t>5230</t>
  </si>
  <si>
    <t>Fri losji og bolig</t>
  </si>
  <si>
    <t>5231</t>
  </si>
  <si>
    <t>Fri kost</t>
  </si>
  <si>
    <t>5240</t>
  </si>
  <si>
    <t>Rentefordel (systemkonto)</t>
  </si>
  <si>
    <t>5250</t>
  </si>
  <si>
    <t>Forsikringer - innberetningskonto</t>
  </si>
  <si>
    <t>5280</t>
  </si>
  <si>
    <t>Annen fordel i arbeidsforhold</t>
  </si>
  <si>
    <t>5285</t>
  </si>
  <si>
    <t>Annen fordel i arbeidsforhold - ikke arbeidsgiveravgiftspliktig</t>
  </si>
  <si>
    <t>5290</t>
  </si>
  <si>
    <t>Motkonto for gruppe 52</t>
  </si>
  <si>
    <t>5310</t>
  </si>
  <si>
    <t>Gruppeliv - faktura</t>
  </si>
  <si>
    <t>5330</t>
  </si>
  <si>
    <t>Godtgjørelse til styret</t>
  </si>
  <si>
    <t>5390</t>
  </si>
  <si>
    <t>5395</t>
  </si>
  <si>
    <t>5400</t>
  </si>
  <si>
    <t>Arbeidsgiveravgift</t>
  </si>
  <si>
    <t>5405</t>
  </si>
  <si>
    <t>Arb.giv.avg av pål. feriepenger</t>
  </si>
  <si>
    <t>5420</t>
  </si>
  <si>
    <t>Innberetningspliktig pensjonskostnad - faktura</t>
  </si>
  <si>
    <t>5425</t>
  </si>
  <si>
    <t>Innberetningspliktig personalforsikring</t>
  </si>
  <si>
    <t>5500</t>
  </si>
  <si>
    <t>Annen kostnadsgodtgjørelse</t>
  </si>
  <si>
    <t>5700</t>
  </si>
  <si>
    <t>Lærlingtilskudd</t>
  </si>
  <si>
    <t>5800</t>
  </si>
  <si>
    <t>Refusjon av sykepenger</t>
  </si>
  <si>
    <t>5801</t>
  </si>
  <si>
    <t>Sykepenger/Foreldrepenger lønnskjørt</t>
  </si>
  <si>
    <t>5802</t>
  </si>
  <si>
    <t>Motkonto lønnskjørte sykepenger</t>
  </si>
  <si>
    <t>5820</t>
  </si>
  <si>
    <t>Refusjon av arbeidsgiveravgift</t>
  </si>
  <si>
    <t>5890</t>
  </si>
  <si>
    <t>Annen refusjon</t>
  </si>
  <si>
    <t>5900</t>
  </si>
  <si>
    <t>Gaver til ansatte</t>
  </si>
  <si>
    <t>5910</t>
  </si>
  <si>
    <t>Kantinekostnad</t>
  </si>
  <si>
    <t>5919</t>
  </si>
  <si>
    <t>Trekk kantinekostnad ansatte</t>
  </si>
  <si>
    <t>5920</t>
  </si>
  <si>
    <t>Yrkesskadeforsikring</t>
  </si>
  <si>
    <t>5930</t>
  </si>
  <si>
    <t>Annen ikke arbeidsgiveravgiftspliktig forsikring</t>
  </si>
  <si>
    <t>5941</t>
  </si>
  <si>
    <t>LO/NHO ( O &amp; U + sluttvederlag )</t>
  </si>
  <si>
    <t>5942</t>
  </si>
  <si>
    <t xml:space="preserve">LO/NHO (AFP) </t>
  </si>
  <si>
    <t>5951</t>
  </si>
  <si>
    <t>Obligatorisk tjenestepensjon, trekk ansatte</t>
  </si>
  <si>
    <t>5952</t>
  </si>
  <si>
    <t>Innberetning OTP/AFP</t>
  </si>
  <si>
    <t>5953</t>
  </si>
  <si>
    <t>Motkonto Innberetning OTP/AFP</t>
  </si>
  <si>
    <t>5990</t>
  </si>
  <si>
    <t>Annen personalkostnad</t>
  </si>
  <si>
    <t>5995</t>
  </si>
  <si>
    <t>Leie arbeidskraft og rekrutteringskostnad</t>
  </si>
  <si>
    <t>5999</t>
  </si>
  <si>
    <t>Lønnskost flytting mellom dimensjoner</t>
  </si>
  <si>
    <t>6000</t>
  </si>
  <si>
    <t>Avskrivning på bygninger og annen fast eiendom</t>
  </si>
  <si>
    <t>6010</t>
  </si>
  <si>
    <t>6015</t>
  </si>
  <si>
    <t>Avskrivning maskiner og inventar</t>
  </si>
  <si>
    <t>6020</t>
  </si>
  <si>
    <t>Avskrivning på immaterielle eiendeler</t>
  </si>
  <si>
    <t>6050</t>
  </si>
  <si>
    <t>Nedskrivning av varige driftsmidler og immaterielle eiendeler</t>
  </si>
  <si>
    <t>6100</t>
  </si>
  <si>
    <t>Fraktkostnader til/fra hytter</t>
  </si>
  <si>
    <t>6110</t>
  </si>
  <si>
    <t>Toll og spedisjonskostnad for varer til eget bruk</t>
  </si>
  <si>
    <t>6210</t>
  </si>
  <si>
    <t>Gass</t>
  </si>
  <si>
    <t>6220</t>
  </si>
  <si>
    <t>Fyringsolje</t>
  </si>
  <si>
    <t>6240</t>
  </si>
  <si>
    <t>Ved</t>
  </si>
  <si>
    <t>6300</t>
  </si>
  <si>
    <t>Leie lokale</t>
  </si>
  <si>
    <t>6320</t>
  </si>
  <si>
    <t>Renovasjon /container-leie</t>
  </si>
  <si>
    <t>6330</t>
  </si>
  <si>
    <t>Kommunale avgifter</t>
  </si>
  <si>
    <t>6340</t>
  </si>
  <si>
    <t>Strøm</t>
  </si>
  <si>
    <t>6360</t>
  </si>
  <si>
    <t>Renhold og renholdsartikler</t>
  </si>
  <si>
    <t>6361</t>
  </si>
  <si>
    <t>Tøyvask</t>
  </si>
  <si>
    <t>6390</t>
  </si>
  <si>
    <t>Driftsavtaler eiendom og lokaler</t>
  </si>
  <si>
    <t>6395</t>
  </si>
  <si>
    <t>Driftsavtaler for øvrig</t>
  </si>
  <si>
    <t>6400</t>
  </si>
  <si>
    <t>Leie maskiner og verktøy</t>
  </si>
  <si>
    <t>6410</t>
  </si>
  <si>
    <t>Leie inventar</t>
  </si>
  <si>
    <t>6420</t>
  </si>
  <si>
    <t xml:space="preserve">Leie programvare </t>
  </si>
  <si>
    <t>6430</t>
  </si>
  <si>
    <t>Leie kontormaskiner</t>
  </si>
  <si>
    <t>6440</t>
  </si>
  <si>
    <t>Leasing/leie biler/transportmidler</t>
  </si>
  <si>
    <t>6490</t>
  </si>
  <si>
    <t>Leie jakt- og fiskerettigheter, høy sats</t>
  </si>
  <si>
    <t>6500</t>
  </si>
  <si>
    <t>Verktøy, maskiner og større utstyr</t>
  </si>
  <si>
    <t>6510</t>
  </si>
  <si>
    <t>Utgifter ruter &amp; broer</t>
  </si>
  <si>
    <t>6540</t>
  </si>
  <si>
    <t>Inventar og løst utstyr</t>
  </si>
  <si>
    <t>6550</t>
  </si>
  <si>
    <t>Datautstyr (maskinvare)</t>
  </si>
  <si>
    <t>6551</t>
  </si>
  <si>
    <t>Data - support og konsulenter</t>
  </si>
  <si>
    <t>6552</t>
  </si>
  <si>
    <t>Programvareanskaffelse</t>
  </si>
  <si>
    <t>6570</t>
  </si>
  <si>
    <t>Arbeidsklær og verneutstyr</t>
  </si>
  <si>
    <t>6600</t>
  </si>
  <si>
    <t>Tilsyn- og dugnadskostnad, hytter og ruter</t>
  </si>
  <si>
    <t>6605</t>
  </si>
  <si>
    <t>Vedlikehold &amp; rep - eiendom/lokaler</t>
  </si>
  <si>
    <t>6606</t>
  </si>
  <si>
    <t>Rehab/oppgradering - eiendom/lokaler</t>
  </si>
  <si>
    <t>6607</t>
  </si>
  <si>
    <t>Nybygg - eiendom/lokaler</t>
  </si>
  <si>
    <t>6620</t>
  </si>
  <si>
    <t>Vedlikehold &amp; rep - maskiner og utstyr</t>
  </si>
  <si>
    <t>6700</t>
  </si>
  <si>
    <t>Honorarer revisjon</t>
  </si>
  <si>
    <t>6705</t>
  </si>
  <si>
    <t>Honorarer regnskapsføring</t>
  </si>
  <si>
    <t>6706</t>
  </si>
  <si>
    <t>Lisenser og datakostnad regnskap</t>
  </si>
  <si>
    <t>6715</t>
  </si>
  <si>
    <t>Honorar konsulenter</t>
  </si>
  <si>
    <t>6720</t>
  </si>
  <si>
    <t>Honorar for økonomisk og juridisk bistand</t>
  </si>
  <si>
    <t>6790</t>
  </si>
  <si>
    <t>Annen fremmed tjeneste (bl a Settl)</t>
  </si>
  <si>
    <t>6800</t>
  </si>
  <si>
    <t>Kontorrekvisita</t>
  </si>
  <si>
    <t>6801</t>
  </si>
  <si>
    <t>Kjøkken/restaurant rekvisita</t>
  </si>
  <si>
    <t>6805</t>
  </si>
  <si>
    <t>Annen rekvisita - løpende drift</t>
  </si>
  <si>
    <t>6840</t>
  </si>
  <si>
    <t>Aviser, tidsskrifter, bøker o.l.</t>
  </si>
  <si>
    <t>6860</t>
  </si>
  <si>
    <t>Kursavgift, seminarkostand</t>
  </si>
  <si>
    <t>6861</t>
  </si>
  <si>
    <t>Møte-kostnader</t>
  </si>
  <si>
    <t>6900</t>
  </si>
  <si>
    <t>Telefon, mobil og bredbånd/internett</t>
  </si>
  <si>
    <t>6905</t>
  </si>
  <si>
    <t>Nødtelefon radioer - drift, vedlikehold og rep.</t>
  </si>
  <si>
    <t>6940</t>
  </si>
  <si>
    <t>Porto</t>
  </si>
  <si>
    <t>7000</t>
  </si>
  <si>
    <t>Drivstoff transportmidler og annet</t>
  </si>
  <si>
    <t>7020</t>
  </si>
  <si>
    <t>Vedlikehold og service transportmidler</t>
  </si>
  <si>
    <t>7040</t>
  </si>
  <si>
    <t>Forsikring og årsavgift transportmidler</t>
  </si>
  <si>
    <t>7090</t>
  </si>
  <si>
    <t>Annen kostnad transportmidler</t>
  </si>
  <si>
    <t>7100</t>
  </si>
  <si>
    <t>Kilometergodt. innb.pliktig - kun ansatte</t>
  </si>
  <si>
    <t>7105</t>
  </si>
  <si>
    <t>Kilometergodtj. ikke innb.pl. - ikke ansatte</t>
  </si>
  <si>
    <t>7130</t>
  </si>
  <si>
    <t>Reisekostnad, oppgavepliktig</t>
  </si>
  <si>
    <t>7140</t>
  </si>
  <si>
    <t>Reisekostnad, ikke oppgavepliktig</t>
  </si>
  <si>
    <t>7150</t>
  </si>
  <si>
    <t>Diettkostnad, oppgavepliktig</t>
  </si>
  <si>
    <t>7160</t>
  </si>
  <si>
    <t>Diettkostnad, ikke oppgavepliktig</t>
  </si>
  <si>
    <t>7300</t>
  </si>
  <si>
    <t>Annonsering - trykte flater</t>
  </si>
  <si>
    <t>7301</t>
  </si>
  <si>
    <t>Annonsering - digitale flater</t>
  </si>
  <si>
    <t>7302</t>
  </si>
  <si>
    <t xml:space="preserve">Grafiske tjenester </t>
  </si>
  <si>
    <t>7303</t>
  </si>
  <si>
    <t>Distribusjonskostnader marked/kommunikasjon</t>
  </si>
  <si>
    <t>7304</t>
  </si>
  <si>
    <t>Trykkerikostn. marked/kommunikasjon</t>
  </si>
  <si>
    <t>7310</t>
  </si>
  <si>
    <t>Andre kostnader Marked/Salg/Kommunikasjon</t>
  </si>
  <si>
    <t>7311</t>
  </si>
  <si>
    <t>Profil-materiell</t>
  </si>
  <si>
    <t>7315</t>
  </si>
  <si>
    <t>Markedskostnader HI, Booking.com, BPP m fl</t>
  </si>
  <si>
    <t>7350</t>
  </si>
  <si>
    <t>Representasjon, fradragsberettiget</t>
  </si>
  <si>
    <t>7360</t>
  </si>
  <si>
    <t>Representasjon, ikke fradragsberettiget</t>
  </si>
  <si>
    <t>7400</t>
  </si>
  <si>
    <t>Kontingenter og medlemsskap, fradr ber</t>
  </si>
  <si>
    <t>7410</t>
  </si>
  <si>
    <t>Kontingent, ikke fradragsberettiget</t>
  </si>
  <si>
    <t>7420</t>
  </si>
  <si>
    <t>Gaver, oppmerksomheter</t>
  </si>
  <si>
    <t>7430</t>
  </si>
  <si>
    <t>Gave, ikke fradragsberettiget</t>
  </si>
  <si>
    <t>7500</t>
  </si>
  <si>
    <t>Forsikring eiendom, ting og ansvar</t>
  </si>
  <si>
    <t>7740</t>
  </si>
  <si>
    <t>Øres avrunding</t>
  </si>
  <si>
    <t>7750</t>
  </si>
  <si>
    <t>Bygsling, festeavgifter og eiendomsskatt</t>
  </si>
  <si>
    <t>7770</t>
  </si>
  <si>
    <t>Bank- og kortgebyr</t>
  </si>
  <si>
    <t>7790</t>
  </si>
  <si>
    <t>Annen kostnad med fradrag (Settl/inkasso etc)</t>
  </si>
  <si>
    <t>7800</t>
  </si>
  <si>
    <t>Tap ved avgang anleggsmidler</t>
  </si>
  <si>
    <t>7820</t>
  </si>
  <si>
    <t>Innkommet på tidligere nedskrevne fordringer</t>
  </si>
  <si>
    <t>7830</t>
  </si>
  <si>
    <t>Tap på fordringer</t>
  </si>
  <si>
    <t>8050</t>
  </si>
  <si>
    <t>Renteinntekter</t>
  </si>
  <si>
    <t>8060</t>
  </si>
  <si>
    <t>Valutagevinst (agio)</t>
  </si>
  <si>
    <t>8070</t>
  </si>
  <si>
    <t>Purregebyr inntekt fra kunder</t>
  </si>
  <si>
    <t>8071</t>
  </si>
  <si>
    <t>Inntekt på investering</t>
  </si>
  <si>
    <t>8080</t>
  </si>
  <si>
    <t>Verdiøkning av finansielle instrumenter vurdert til virkelig verdi</t>
  </si>
  <si>
    <t>8090</t>
  </si>
  <si>
    <t>Andre finansinntekter</t>
  </si>
  <si>
    <t>8100</t>
  </si>
  <si>
    <t>Verdireduksjon av finansielle instrumenter vurdert til virkelig verdi</t>
  </si>
  <si>
    <t>8110</t>
  </si>
  <si>
    <t>Nedskrivning av andre finansielle omløpsmidler</t>
  </si>
  <si>
    <t>8120</t>
  </si>
  <si>
    <t>Nedskrivning av finansielle anleggsmidler</t>
  </si>
  <si>
    <t>8150</t>
  </si>
  <si>
    <t>Rentekostnad</t>
  </si>
  <si>
    <t>8160</t>
  </si>
  <si>
    <t>Valutatap (disagio)</t>
  </si>
  <si>
    <t>8170</t>
  </si>
  <si>
    <t>Purre- og inkassogebyr fra leverandører</t>
  </si>
  <si>
    <t>8171</t>
  </si>
  <si>
    <t>Provisjon/gebyrer kredittkort/betalingsløsninger</t>
  </si>
  <si>
    <t>8177</t>
  </si>
  <si>
    <t>Tap ved realisasjon av aksjer/andeler, innenfor fritaksmetoden</t>
  </si>
  <si>
    <t>8178</t>
  </si>
  <si>
    <t>Tap ved realisasjon av aksjer/andeler, utenfor fritaksmetoden</t>
  </si>
  <si>
    <t>8300</t>
  </si>
  <si>
    <t>Betalbar skatt</t>
  </si>
  <si>
    <t>8320</t>
  </si>
  <si>
    <t>Endring i utsatt skatt/skattefordel</t>
  </si>
  <si>
    <t>8800</t>
  </si>
  <si>
    <t>Årsresultat</t>
  </si>
  <si>
    <t>8900</t>
  </si>
  <si>
    <t>Overføringer fond</t>
  </si>
  <si>
    <t>8960</t>
  </si>
  <si>
    <t>Overføringer annen egenkapital</t>
  </si>
  <si>
    <t>8990</t>
  </si>
  <si>
    <t>Udekket tap</t>
  </si>
  <si>
    <t>MVA-kode</t>
  </si>
  <si>
    <t>Rapportgruppe</t>
  </si>
  <si>
    <t>Ingen mvabehandling</t>
  </si>
  <si>
    <t>Konsesjoner, patenter, lisenser, varemerker og lignende rettigheter</t>
  </si>
  <si>
    <t>IT- investeringer</t>
  </si>
  <si>
    <t>Inngående mva høy sats</t>
  </si>
  <si>
    <t>Tomter, bygninger og annen fast eiendom</t>
  </si>
  <si>
    <t>Driftsløsøre, inventar, verktøy, kontormaskiner og lignende</t>
  </si>
  <si>
    <t>Investeringer i tilknyttet selskap</t>
  </si>
  <si>
    <t>Investeringer i aksjer og andeler</t>
  </si>
  <si>
    <t>Andre fordringer</t>
  </si>
  <si>
    <t>Varer</t>
  </si>
  <si>
    <t>Markedsbaserte aksjer</t>
  </si>
  <si>
    <t>Andre finansielle instrumenter</t>
  </si>
  <si>
    <t>Bankinnskudd, kontanter o.l.</t>
  </si>
  <si>
    <t>Selskapskapital</t>
  </si>
  <si>
    <t>Byggefond (Egenkapital)</t>
  </si>
  <si>
    <t>Annen egenkapital</t>
  </si>
  <si>
    <t>Gjeld til kredittinstitusjoner</t>
  </si>
  <si>
    <t>Øvrig langsiktig gjeld</t>
  </si>
  <si>
    <t>Skyldige offentlige avgifter</t>
  </si>
  <si>
    <t>Utleggstrekk</t>
  </si>
  <si>
    <t>Gavekort/tilgodelapper</t>
  </si>
  <si>
    <t>Utgående mva middel sats</t>
  </si>
  <si>
    <t>Salgsinntekt</t>
  </si>
  <si>
    <t>Utgående mva høy sats</t>
  </si>
  <si>
    <t>Utgående mva lav sats</t>
  </si>
  <si>
    <t>Andel DNT Netthandel, høy sats</t>
  </si>
  <si>
    <t>Overnatting / losji, lav sats</t>
  </si>
  <si>
    <t>3094</t>
  </si>
  <si>
    <t>Salg av tjenester, høy sats</t>
  </si>
  <si>
    <t>Mvafritt salg</t>
  </si>
  <si>
    <t>Omsetning utenfor mvaloven</t>
  </si>
  <si>
    <t>3206</t>
  </si>
  <si>
    <t>Salg av tjenester, utenfor avgomr</t>
  </si>
  <si>
    <t>Annen driftsinntekt</t>
  </si>
  <si>
    <t xml:space="preserve">3410 </t>
  </si>
  <si>
    <t>Kontingent - omfordelt Lokallag</t>
  </si>
  <si>
    <t>3917</t>
  </si>
  <si>
    <t>Kassedifferanser, utenfor avg omr</t>
  </si>
  <si>
    <t>Inngående mva middel sats</t>
  </si>
  <si>
    <t>Varekostnad</t>
  </si>
  <si>
    <t>Sjokolade,is,frukt,snacks, kiosk, middel sats</t>
  </si>
  <si>
    <t>Inngående mva lav sats</t>
  </si>
  <si>
    <t>Rabatter og innkjøpsprisreduksjon,  høy sats</t>
  </si>
  <si>
    <t>Grunnlag ved innførsel av varer høy sats</t>
  </si>
  <si>
    <t>Lønnskostnad</t>
  </si>
  <si>
    <t>Annen oppgavepliktig godtgjørelse / personalforsikring</t>
  </si>
  <si>
    <t>Annen oppgavepliktig godtgjørelse, ikke arbeidsgiveravgiftspliktig</t>
  </si>
  <si>
    <t>Avskrivning på varige driftsmidler og immatrielle eiendeler</t>
  </si>
  <si>
    <t>Nedskriving på varige driftsmidler og immatrielle eiendeler</t>
  </si>
  <si>
    <t>Annen driftskostnad</t>
  </si>
  <si>
    <t>Annen finansinntekt</t>
  </si>
  <si>
    <t>Verdiendring av finansielle instrumenter vurdert til virkelig verdi</t>
  </si>
  <si>
    <t>Nedskriving av finansielle eiendeler</t>
  </si>
  <si>
    <t>Annen finanskostnad</t>
  </si>
  <si>
    <t>Skattekostnad på ordinært resultat</t>
  </si>
  <si>
    <t>Kontoplan</t>
  </si>
  <si>
    <t>Standard kontoplan v oppstart i POGO - før endring</t>
  </si>
  <si>
    <t>Kode</t>
  </si>
  <si>
    <t>Bygninger</t>
  </si>
  <si>
    <t>1160</t>
  </si>
  <si>
    <t>Boliger inklusive tomter</t>
  </si>
  <si>
    <t>1180</t>
  </si>
  <si>
    <t>Investeringseiendommer</t>
  </si>
  <si>
    <t>1220</t>
  </si>
  <si>
    <t>Skip, rigger, fly</t>
  </si>
  <si>
    <t>Skip, rigger, fly og lignende</t>
  </si>
  <si>
    <t>Investeringer i aksjer, andeler og verdipapirfondsandeler</t>
  </si>
  <si>
    <t>1360</t>
  </si>
  <si>
    <t>Obligasjoner</t>
  </si>
  <si>
    <t>Innkjøpte varer for videresalg</t>
  </si>
  <si>
    <t>1490</t>
  </si>
  <si>
    <t>Biologiske eiendeler</t>
  </si>
  <si>
    <t>Kundefordringer på selskap i samme konsern</t>
  </si>
  <si>
    <t>Lønnsforskudd</t>
  </si>
  <si>
    <t>1600</t>
  </si>
  <si>
    <t>Utgående merverdiavgift</t>
  </si>
  <si>
    <t>1610</t>
  </si>
  <si>
    <t>Inngående merverdiavgift</t>
  </si>
  <si>
    <t>1640</t>
  </si>
  <si>
    <t>1830</t>
  </si>
  <si>
    <t>Markedsbaserte obligasjoner</t>
  </si>
  <si>
    <t xml:space="preserve">Markedsbaserte obligasjoner </t>
  </si>
  <si>
    <t>1840</t>
  </si>
  <si>
    <t>Andre obligasjoner</t>
  </si>
  <si>
    <t>1850</t>
  </si>
  <si>
    <t>Markedsbaserte obligasjoner med kort løpetid (sertifikater)</t>
  </si>
  <si>
    <t>1860</t>
  </si>
  <si>
    <t>Andre obligasjoner med kort løpetid (sertifikater)</t>
  </si>
  <si>
    <t>1880</t>
  </si>
  <si>
    <t>Kontanter</t>
  </si>
  <si>
    <t>Bank 2291 09 08050 Driftskonto</t>
  </si>
  <si>
    <t>Bankinnskudd for skattetrekk</t>
  </si>
  <si>
    <t>Aksjekapital</t>
  </si>
  <si>
    <t>2010</t>
  </si>
  <si>
    <t>Egne aksjer</t>
  </si>
  <si>
    <t>2020</t>
  </si>
  <si>
    <t>Overkursfond</t>
  </si>
  <si>
    <t>2160</t>
  </si>
  <si>
    <t>2200</t>
  </si>
  <si>
    <t>Konvertible lån</t>
  </si>
  <si>
    <t>2210</t>
  </si>
  <si>
    <t>Obligasjonslån</t>
  </si>
  <si>
    <t>Annen langsiktig gjeld</t>
  </si>
  <si>
    <t>2300</t>
  </si>
  <si>
    <t>2320</t>
  </si>
  <si>
    <t>Sertifikatlån</t>
  </si>
  <si>
    <t>2390</t>
  </si>
  <si>
    <t>Annen gjeld til kredittinstitusjon</t>
  </si>
  <si>
    <t>2460</t>
  </si>
  <si>
    <t>Leverandørgjeld til selskap i samme konsern</t>
  </si>
  <si>
    <t>2800</t>
  </si>
  <si>
    <t>Avsatt utbytte</t>
  </si>
  <si>
    <t>Forskudd fra kunder</t>
  </si>
  <si>
    <t>Påløpt kostnad og forskuddsbetalt inntekt</t>
  </si>
  <si>
    <t>Salgsinntekt, avgiftspliktig</t>
  </si>
  <si>
    <t>Uttak av varer</t>
  </si>
  <si>
    <t>Rabatt og annen salgsinntektsreduksjon</t>
  </si>
  <si>
    <t>Salgsinntekt, avgiftsfri</t>
  </si>
  <si>
    <t>3180</t>
  </si>
  <si>
    <t>3190</t>
  </si>
  <si>
    <t>Refunderbare utlegg for kjøpers regning</t>
  </si>
  <si>
    <t>3200</t>
  </si>
  <si>
    <t>Salgsinntekt, utenfor avgiftsområdet</t>
  </si>
  <si>
    <t>3280</t>
  </si>
  <si>
    <t>3300</t>
  </si>
  <si>
    <t>Spesiell offentlig avgift for tilvirkede/solgte varer</t>
  </si>
  <si>
    <t>Spesielt offentlig tilskudd for tilvirkede/solgte varer</t>
  </si>
  <si>
    <t>3440</t>
  </si>
  <si>
    <t>Spesielt offentlig tilskudd for tjeneste</t>
  </si>
  <si>
    <t>3500</t>
  </si>
  <si>
    <t>Garanti</t>
  </si>
  <si>
    <t>3510</t>
  </si>
  <si>
    <t>Service</t>
  </si>
  <si>
    <t>Annen uopptjent inntekt</t>
  </si>
  <si>
    <t>Leieinntekt fast eiendom</t>
  </si>
  <si>
    <t>Leieinntekt andre varige driftsmidler</t>
  </si>
  <si>
    <t>Annen leieinntekt</t>
  </si>
  <si>
    <t>Provisjonsinntekt</t>
  </si>
  <si>
    <t>Gevinst ved avgang av anleggsmidler</t>
  </si>
  <si>
    <t>3850</t>
  </si>
  <si>
    <t>Verdiendringer investeringseiendommer</t>
  </si>
  <si>
    <t>3870</t>
  </si>
  <si>
    <t>Verdiendringer biologiske eiendeler</t>
  </si>
  <si>
    <t>Annen driftsrelatert inntekt</t>
  </si>
  <si>
    <t>4000</t>
  </si>
  <si>
    <t>Innkjøp av råvarer og halvfabrikata</t>
  </si>
  <si>
    <t>Frakt, toll og spedisjon</t>
  </si>
  <si>
    <t>4070</t>
  </si>
  <si>
    <t>Innkjøpsprisreduksjon</t>
  </si>
  <si>
    <t>4090</t>
  </si>
  <si>
    <t>Innkjøp varer under tilvirkning</t>
  </si>
  <si>
    <t>4160</t>
  </si>
  <si>
    <t>4170</t>
  </si>
  <si>
    <t>4190</t>
  </si>
  <si>
    <t>Endring i beholdning av varer under tilvirkning og ferdig tilvirkede varer</t>
  </si>
  <si>
    <t>4260</t>
  </si>
  <si>
    <t>4300</t>
  </si>
  <si>
    <t>Innkjøp av varer for videresalg</t>
  </si>
  <si>
    <t>4590</t>
  </si>
  <si>
    <t>4990</t>
  </si>
  <si>
    <t>Beholdningsendring, egentilvirkede anleggsmidler</t>
  </si>
  <si>
    <t>Endring i beholdning av egentilvirkede anleggsmidler</t>
  </si>
  <si>
    <t>5100</t>
  </si>
  <si>
    <t>5190</t>
  </si>
  <si>
    <t>Rentefordel</t>
  </si>
  <si>
    <t>Forsikringer</t>
  </si>
  <si>
    <t>5300</t>
  </si>
  <si>
    <t>Tantieme</t>
  </si>
  <si>
    <t>Godtgjørelse til styre- og bedriftsforsamlingen</t>
  </si>
  <si>
    <t>Annen oppgavepliktig godtgjørelse</t>
  </si>
  <si>
    <t>Innberetningspliktig pensjonskostnad</t>
  </si>
  <si>
    <t>5600</t>
  </si>
  <si>
    <t>Arbeidsgodtgjørelse til eiere i ANS og lignende</t>
  </si>
  <si>
    <t>Refusjon sykepenger aga</t>
  </si>
  <si>
    <t>Motkonto Refusjon sykepenger aga</t>
  </si>
  <si>
    <t>5950</t>
  </si>
  <si>
    <t>Obligatorisk tjenestepensjon (OTP)</t>
  </si>
  <si>
    <t>Avskrivning på transportmidler, maskiner og inventar</t>
  </si>
  <si>
    <t>Frakt, transportkostnad og forsikring ved vareforsendelse</t>
  </si>
  <si>
    <t>Toll og spedisjonskostnad ved vareforsendelse</t>
  </si>
  <si>
    <t>6190</t>
  </si>
  <si>
    <t>Annen frakt- og transportkostnad ved salg</t>
  </si>
  <si>
    <t>6200</t>
  </si>
  <si>
    <t>Elektrisitet</t>
  </si>
  <si>
    <t>6230</t>
  </si>
  <si>
    <t>Kull, koks</t>
  </si>
  <si>
    <t>6250</t>
  </si>
  <si>
    <t>Bensin, dieselolje</t>
  </si>
  <si>
    <t>6260</t>
  </si>
  <si>
    <t>Vann</t>
  </si>
  <si>
    <t>6290</t>
  </si>
  <si>
    <t>Annet brensel</t>
  </si>
  <si>
    <t>Renovasjon, vann, avløp o.l.</t>
  </si>
  <si>
    <t>Lys, varme</t>
  </si>
  <si>
    <t>Renhold</t>
  </si>
  <si>
    <t>Annen kostnad lokaler</t>
  </si>
  <si>
    <t>Leie maskiner</t>
  </si>
  <si>
    <t>Leie datasystemer</t>
  </si>
  <si>
    <t>Leie andre kontormaskiner</t>
  </si>
  <si>
    <t>Leie transportmidler</t>
  </si>
  <si>
    <t>Annen leiekostnad</t>
  </si>
  <si>
    <t>Motordrevet verktøy</t>
  </si>
  <si>
    <t>Håndverktøy</t>
  </si>
  <si>
    <t>6520</t>
  </si>
  <si>
    <t>Hjelpeverktøy</t>
  </si>
  <si>
    <t>6530</t>
  </si>
  <si>
    <t>Spesialverktøy</t>
  </si>
  <si>
    <t>Driftsmateriale</t>
  </si>
  <si>
    <t>6560</t>
  </si>
  <si>
    <t>Rekvisita</t>
  </si>
  <si>
    <t>6590</t>
  </si>
  <si>
    <t>Annet driftsmateriale</t>
  </si>
  <si>
    <t>Reparasjon og vedlikehold bygninger</t>
  </si>
  <si>
    <t>Reparasjon og vedlikehold utstyr</t>
  </si>
  <si>
    <t>6690</t>
  </si>
  <si>
    <t>Reparasjon og vedlikehold annet</t>
  </si>
  <si>
    <t>Revisjons- og regnskapshonorar</t>
  </si>
  <si>
    <t>Annen fremmed tjeneste</t>
  </si>
  <si>
    <t>6820</t>
  </si>
  <si>
    <t>Trykksak</t>
  </si>
  <si>
    <t>Møte, kurs, oppdatering o.l.</t>
  </si>
  <si>
    <t>6890</t>
  </si>
  <si>
    <t>Annen kontorkostnad</t>
  </si>
  <si>
    <t>Telefon</t>
  </si>
  <si>
    <t>6907</t>
  </si>
  <si>
    <t>Internett</t>
  </si>
  <si>
    <t>Drivstoff</t>
  </si>
  <si>
    <t>Vedlikehold</t>
  </si>
  <si>
    <t>Forsikring</t>
  </si>
  <si>
    <t>Bilgodtgjørelse, oppgavepliktig</t>
  </si>
  <si>
    <t>7190</t>
  </si>
  <si>
    <t>7200</t>
  </si>
  <si>
    <t>Provisjonskostnad, oppgavepliktig</t>
  </si>
  <si>
    <t>7210</t>
  </si>
  <si>
    <t>Provisjonskostnad, ikke oppgavepliktig</t>
  </si>
  <si>
    <t>Salgskostnad</t>
  </si>
  <si>
    <t>7320</t>
  </si>
  <si>
    <t>Reklamekostnad</t>
  </si>
  <si>
    <t>7390</t>
  </si>
  <si>
    <t>Annen salgskostnad</t>
  </si>
  <si>
    <t>Kontingent, fradragsberettiget</t>
  </si>
  <si>
    <t>Gave, fradragsberettiget</t>
  </si>
  <si>
    <t>Forsikringspremie</t>
  </si>
  <si>
    <t>7550</t>
  </si>
  <si>
    <t>Garantikostnad</t>
  </si>
  <si>
    <t>7560</t>
  </si>
  <si>
    <t>Servicekostnad</t>
  </si>
  <si>
    <t>7600</t>
  </si>
  <si>
    <t>Lisensavgift og royalties</t>
  </si>
  <si>
    <t>7610</t>
  </si>
  <si>
    <t>Patentkostnad ved egen patent</t>
  </si>
  <si>
    <t>7620</t>
  </si>
  <si>
    <t>Kostnad ved varemerke o.l.</t>
  </si>
  <si>
    <t>7630</t>
  </si>
  <si>
    <t>Kontroll-, prøve- og stempelavgifter</t>
  </si>
  <si>
    <t>7710</t>
  </si>
  <si>
    <t>Styre- og bedriftsforsamlingsmøter</t>
  </si>
  <si>
    <t>7720</t>
  </si>
  <si>
    <t>Generalforsamling</t>
  </si>
  <si>
    <t>7730</t>
  </si>
  <si>
    <t>Kostnad ved egne aksjer</t>
  </si>
  <si>
    <t>Øresavrunding</t>
  </si>
  <si>
    <t>Eiendoms- og festeavgift</t>
  </si>
  <si>
    <t>Annen kostnad</t>
  </si>
  <si>
    <t>7860</t>
  </si>
  <si>
    <t>Tap på kontrakter</t>
  </si>
  <si>
    <t>8000</t>
  </si>
  <si>
    <t>Inntekt på investering i datterselskap</t>
  </si>
  <si>
    <t>Inntekt på investering i datterselskap og tilknyttet selskap</t>
  </si>
  <si>
    <t>8010</t>
  </si>
  <si>
    <t>Inntekt på investering i annet foretak i samme konsern</t>
  </si>
  <si>
    <t>8020</t>
  </si>
  <si>
    <t>Inntekt på investering i tilknyttet selskap</t>
  </si>
  <si>
    <t>8030</t>
  </si>
  <si>
    <t>Renteinntekt fra foretak i samme konsern</t>
  </si>
  <si>
    <t>8040</t>
  </si>
  <si>
    <t>Renteinntekt, skattefri</t>
  </si>
  <si>
    <t>Annen renteinntekt</t>
  </si>
  <si>
    <t>Inntekt på andre investeringer</t>
  </si>
  <si>
    <t>8130</t>
  </si>
  <si>
    <t>Rentekostnad til foretak i samme konsern</t>
  </si>
  <si>
    <t>8140</t>
  </si>
  <si>
    <t>Rentekostnad, ikke fradragsberettiget</t>
  </si>
  <si>
    <t>Annen rentekostnad</t>
  </si>
  <si>
    <t>8600</t>
  </si>
  <si>
    <t>Skattekostnad på ekstraordinære poster</t>
  </si>
  <si>
    <t>8620</t>
  </si>
  <si>
    <t>8910</t>
  </si>
  <si>
    <t>Overføringer felleseid andelskapital for samvirkeforetak</t>
  </si>
  <si>
    <t>8920</t>
  </si>
  <si>
    <t>Avsatt utbytte / renter på grunnfondsbevis / kjøpsutbytte for samvirkeforetak</t>
  </si>
  <si>
    <t>8930</t>
  </si>
  <si>
    <t>Konsernbidrag</t>
  </si>
  <si>
    <t>8950</t>
  </si>
  <si>
    <t>Fondsemisjon</t>
  </si>
  <si>
    <t>8980</t>
  </si>
  <si>
    <t>Privatuttak</t>
  </si>
  <si>
    <t>STANDARD Kontoplan</t>
  </si>
  <si>
    <t>Komplett versjon - hodes skjult</t>
  </si>
  <si>
    <t>Aktiv</t>
  </si>
  <si>
    <t>Prosjekt er påkrevd</t>
  </si>
  <si>
    <t>Avdeling er påkrevd</t>
  </si>
  <si>
    <t>Nei</t>
  </si>
  <si>
    <t>Haukeliseter eiendom</t>
  </si>
  <si>
    <t>Ja</t>
  </si>
  <si>
    <t>Ådneram eiendom</t>
  </si>
  <si>
    <t>Haukeliseter, personalbygg</t>
  </si>
  <si>
    <t>Preikestolen eiendom</t>
  </si>
  <si>
    <t>Haukeliseter oppgradering 2016/2017</t>
  </si>
  <si>
    <t>Kannik Prestegård</t>
  </si>
  <si>
    <t>Preikestolen Fjellstue</t>
  </si>
  <si>
    <t>1108</t>
  </si>
  <si>
    <t>Lokaler Tursenteret</t>
  </si>
  <si>
    <t>Andelskapital DNT Økonomiring SA</t>
  </si>
  <si>
    <t>Aksjer Stiftelsen Preikestolen</t>
  </si>
  <si>
    <t>Reisemål Ryfylke AS</t>
  </si>
  <si>
    <t>Varebeholdning</t>
  </si>
  <si>
    <t>Tursenteret  uttak</t>
  </si>
  <si>
    <t>Avregning resepsjon Lysefjorden</t>
  </si>
  <si>
    <t>Avregning resepsjon Haukeli</t>
  </si>
  <si>
    <t>Kredittsalg Haukeliseter Fjellstue</t>
  </si>
  <si>
    <t>Kredittsalg Lysefjorden Turisthytte</t>
  </si>
  <si>
    <t>Kredittsalg Preikestolen Fjellstue</t>
  </si>
  <si>
    <t>Kredittsalg Stranddalen Turisthytte</t>
  </si>
  <si>
    <t>VisBook-fordringer/kredittsalg</t>
  </si>
  <si>
    <t>Kasse Tursenteret</t>
  </si>
  <si>
    <t>Kasse Haukeliseter Fjellstue</t>
  </si>
  <si>
    <t>Kasse Lysefjorden Turisthytte</t>
  </si>
  <si>
    <t>Kasse Stranddalen Turisthytte</t>
  </si>
  <si>
    <t>Kasse Administrasjon Kannik</t>
  </si>
  <si>
    <t>Kasse 60+/ Eldre Garde</t>
  </si>
  <si>
    <t>1907</t>
  </si>
  <si>
    <t>Kasse Preikestolen Turisthytte</t>
  </si>
  <si>
    <t>Gavekort andre foreninger til viderefakturering</t>
  </si>
  <si>
    <t>Bank 3201 05 11983 Driftskonto SR Bank</t>
  </si>
  <si>
    <t>Bank 3201 59 34505 Høyrente</t>
  </si>
  <si>
    <t>Bank 3201 09 85543 Fullmakter</t>
  </si>
  <si>
    <t>Bank 3201 15 43900  Haukeliseter</t>
  </si>
  <si>
    <t>Bank 2717 10 15869 DNB/Haukeliseter</t>
  </si>
  <si>
    <t>Bank 3201 41 40440 Preikestolen</t>
  </si>
  <si>
    <t>Bank 3353 22 25383 Hjelmeland Turlag /Hj. Spb</t>
  </si>
  <si>
    <t>Bank 3353 22 30425 Hjelmeland Turlag /Hj. Spb</t>
  </si>
  <si>
    <t>Bank 3201 07 11966 Skattetrekk SR Bank</t>
  </si>
  <si>
    <t>Bank xxxx xx xxxxx - til VisBook oppgjør</t>
  </si>
  <si>
    <t>Udekket tap (avviklede konti)</t>
  </si>
  <si>
    <t>Uopptjent inntekt - bevilgede tilskudd og støtteordninger</t>
  </si>
  <si>
    <t>Lån 3201 75 08147 SR Bank</t>
  </si>
  <si>
    <t>Lån 3201 83 49735   SR Bank Nibor 3 mnd</t>
  </si>
  <si>
    <t>H f rogaland fylke</t>
  </si>
  <si>
    <t>Livsvarig medlem fond</t>
  </si>
  <si>
    <t>Konsul Berentzens Fond</t>
  </si>
  <si>
    <t>Utbet. Feriepenger i året</t>
  </si>
  <si>
    <t>Gavekort</t>
  </si>
  <si>
    <t>Forskudd fra kunder Haukeliseter booking</t>
  </si>
  <si>
    <t>Forskudd fra kunder Lysefjorden Turisthytte</t>
  </si>
  <si>
    <t>Forskudd fra kunder Preikestolen TH</t>
  </si>
  <si>
    <t>Barteravtaler - annonser/støtte, høy sats</t>
  </si>
  <si>
    <t>Sponsing/Annonsestøtte m.m, høy sats</t>
  </si>
  <si>
    <t>Varesalg Tursenter/Resepsjonsbutikker, høy sats</t>
  </si>
  <si>
    <t>Skiskolen, høy sats</t>
  </si>
  <si>
    <t>3079</t>
  </si>
  <si>
    <t>Skiskolen, lav sats</t>
  </si>
  <si>
    <t>Guidet turdeltakelse, utenfor avgomr</t>
  </si>
  <si>
    <t>Skiskolen, utenfor avgomr</t>
  </si>
  <si>
    <t>Driftstilskudd, utenf avg omr</t>
  </si>
  <si>
    <t>Grasrotandel - Norsk Tipping</t>
  </si>
  <si>
    <t>Kontingent - solgt via STF m Turlag, utenf avg omr</t>
  </si>
  <si>
    <t>Avbestillingsgebyr, utenf avg omr</t>
  </si>
  <si>
    <t>Kassedifferanser - midlertidig føring</t>
  </si>
  <si>
    <t>Mat /- vin til  matlaging, middel sats</t>
  </si>
  <si>
    <t>Jakt/fiskekort, høy sats</t>
  </si>
  <si>
    <t>Varekjøp utleie - Tursenter/Resepsjonsbutikk, høy sats</t>
  </si>
  <si>
    <t>4237</t>
  </si>
  <si>
    <t>Skiskolen, avgiftsfritt</t>
  </si>
  <si>
    <t>Internt varekjøp STF, høy sats</t>
  </si>
  <si>
    <t>Internt varekjøp - STF, middel sats</t>
  </si>
  <si>
    <t>Internt varekjøp - STF, lav sats</t>
  </si>
  <si>
    <t>Internt varekjøp - STF, avgiftsfritt</t>
  </si>
  <si>
    <t>Internt varekjøp - STF, tilbakeføring</t>
  </si>
  <si>
    <t>Bonus/rabatter fra leverandører, høy sats</t>
  </si>
  <si>
    <t>Godtgjørelse Frivilliighetsarbeid</t>
  </si>
  <si>
    <t>Bonus/Honorar  inkl. feriepenger</t>
  </si>
  <si>
    <t>Programvare leie og vedlikehold</t>
  </si>
  <si>
    <t>Datautstyr (hardware)</t>
  </si>
  <si>
    <t>Programvareanskaffelse (software)</t>
  </si>
  <si>
    <t>Reparasjon og vedlikehold maskiner og utstyr</t>
  </si>
  <si>
    <t>Kursavgift, seminarkostand egne ansatte</t>
  </si>
  <si>
    <t>Telefon, bredbånd og internett</t>
  </si>
  <si>
    <t>Nødtelefon radioer - rep &amp; vedlikehold</t>
  </si>
  <si>
    <t>Grafiske tjenester - høy sats</t>
  </si>
  <si>
    <t>Distribusjonskostander marked/kommunikasjon</t>
  </si>
  <si>
    <t>Trykkerikostn. marked/kommunikasjon.</t>
  </si>
  <si>
    <t>Bygsling og festeavgifter</t>
  </si>
  <si>
    <t>Annen kostnad med fradrag</t>
  </si>
  <si>
    <t>7835</t>
  </si>
  <si>
    <t>Purre- og inkassosalær inndriving egne fordringer</t>
  </si>
  <si>
    <t>Sandefjord</t>
  </si>
  <si>
    <t>Holmestrand</t>
  </si>
  <si>
    <t>Horten</t>
  </si>
  <si>
    <t>Tønsberg</t>
  </si>
  <si>
    <t>Larvik</t>
  </si>
  <si>
    <t>Vestfold</t>
  </si>
  <si>
    <t xml:space="preserve"> </t>
  </si>
  <si>
    <t>EIENDELER</t>
  </si>
  <si>
    <t>EGENKAPITAL OG GJELD</t>
  </si>
  <si>
    <t>Bruttomargin</t>
  </si>
  <si>
    <t>Driftsresultat</t>
  </si>
  <si>
    <t>Resultat før skatt</t>
  </si>
  <si>
    <t>Sum driftsinntekter</t>
  </si>
  <si>
    <t>Sum driftskostnader</t>
  </si>
  <si>
    <t>Balanse og resultatregnskap 2021</t>
  </si>
  <si>
    <t>Balanse og resultatregnskap 2022</t>
  </si>
  <si>
    <t>Balanse og resultatregnskap 2023</t>
  </si>
  <si>
    <t>Budsjett regnskap 2024</t>
  </si>
  <si>
    <t>Flytte kontingenter</t>
  </si>
  <si>
    <t>DNT Vestfold</t>
  </si>
  <si>
    <t>DNT V Endring</t>
  </si>
  <si>
    <t>DNT V 'som om'</t>
  </si>
  <si>
    <t>Input</t>
  </si>
  <si>
    <t>Sum endring</t>
  </si>
  <si>
    <t>Totalt Vestfold</t>
  </si>
  <si>
    <t>Flytte tilskudd</t>
  </si>
  <si>
    <t>Dele ut tilskudd</t>
  </si>
  <si>
    <t>Dele ut kontingenter</t>
  </si>
  <si>
    <t>Flytte personalkostnader</t>
  </si>
  <si>
    <t>Balanse og resultatregnskap gjennomsnitt per 3 år</t>
  </si>
  <si>
    <t>Flytte driftskostnader</t>
  </si>
  <si>
    <t>Flytting driftskostnader</t>
  </si>
  <si>
    <t>Medlemsstatistikk</t>
  </si>
  <si>
    <t xml:space="preserve">Totalt </t>
  </si>
  <si>
    <t>Andel</t>
  </si>
  <si>
    <t>Antall medlemmer</t>
  </si>
  <si>
    <t>Flytte kostnad</t>
  </si>
  <si>
    <t>Flytte redusert kostnad</t>
  </si>
  <si>
    <t>Kostnader flyttes</t>
  </si>
  <si>
    <t>Flytte kostnader</t>
  </si>
  <si>
    <t>Prognose 2026</t>
  </si>
  <si>
    <t xml:space="preserve">Beregnet innskuddsbehov 2026 </t>
  </si>
  <si>
    <t>Beregnet tilskudd 2026</t>
  </si>
  <si>
    <t>Tilskudd utbetalt forskuddsvis</t>
  </si>
  <si>
    <t>Beregnet overskudd DNT V</t>
  </si>
  <si>
    <t>Forening</t>
  </si>
  <si>
    <t>Innskudd 2026</t>
  </si>
  <si>
    <t>DNT TO</t>
  </si>
  <si>
    <t>LOT</t>
  </si>
  <si>
    <t>DNT Sandefjord</t>
  </si>
  <si>
    <t>DNT Horten</t>
  </si>
  <si>
    <t>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</si>
</sst>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13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13"/>
      <name val="Calibri"/>
      <family val="2"/>
    </font>
    <font>
      <sz val="8"/>
      <name val="Calibri"/>
      <family val="2"/>
    </font>
    <font>
      <sz val="11"/>
      <color rgb="FF444444"/>
      <name val="Calibri"/>
      <family val="2"/>
      <charset val="1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F6AA"/>
        <bgColor indexed="64"/>
      </patternFill>
    </fill>
    <fill>
      <patternFill patternType="solid">
        <fgColor rgb="FFA4EDFC"/>
        <bgColor indexed="64"/>
      </patternFill>
    </fill>
    <fill>
      <patternFill patternType="solid">
        <fgColor rgb="FFE9C5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/>
    <xf numFmtId="0" fontId="2" fillId="0" borderId="1" xfId="0" applyFont="1" applyBorder="1"/>
    <xf numFmtId="49" fontId="0" fillId="2" borderId="0" xfId="0" applyNumberFormat="1" applyFill="1" applyAlignment="1">
      <alignment vertical="top"/>
    </xf>
    <xf numFmtId="49" fontId="0" fillId="9" borderId="0" xfId="0" applyNumberFormat="1" applyFill="1" applyAlignment="1">
      <alignment vertical="top"/>
    </xf>
    <xf numFmtId="49" fontId="0" fillId="7" borderId="0" xfId="0" applyNumberFormat="1" applyFill="1" applyAlignment="1">
      <alignment vertical="top"/>
    </xf>
    <xf numFmtId="49" fontId="0" fillId="8" borderId="0" xfId="0" applyNumberFormat="1" applyFill="1" applyAlignment="1">
      <alignment vertical="top"/>
    </xf>
    <xf numFmtId="49" fontId="0" fillId="4" borderId="0" xfId="0" applyNumberFormat="1" applyFill="1" applyAlignment="1">
      <alignment vertical="top"/>
    </xf>
    <xf numFmtId="49" fontId="0" fillId="5" borderId="0" xfId="0" applyNumberFormat="1" applyFill="1" applyAlignment="1">
      <alignment vertical="top"/>
    </xf>
    <xf numFmtId="49" fontId="0" fillId="6" borderId="0" xfId="0" applyNumberFormat="1" applyFill="1" applyAlignment="1">
      <alignment vertical="top"/>
    </xf>
    <xf numFmtId="49" fontId="0" fillId="3" borderId="0" xfId="0" applyNumberFormat="1" applyFill="1" applyAlignment="1">
      <alignment vertical="top"/>
    </xf>
    <xf numFmtId="49" fontId="0" fillId="0" borderId="0" xfId="0" applyNumberFormat="1" applyAlignment="1">
      <alignment vertical="top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2" applyFont="1"/>
    <xf numFmtId="43" fontId="2" fillId="10" borderId="0" xfId="2" applyFont="1" applyFill="1"/>
    <xf numFmtId="0" fontId="2" fillId="0" borderId="2" xfId="0" applyFont="1" applyBorder="1" applyAlignment="1">
      <alignment horizontal="center"/>
    </xf>
    <xf numFmtId="164" fontId="2" fillId="0" borderId="3" xfId="2" applyNumberFormat="1" applyFont="1" applyFill="1" applyBorder="1" applyAlignment="1">
      <alignment horizontal="center"/>
    </xf>
    <xf numFmtId="43" fontId="2" fillId="0" borderId="3" xfId="2" applyFont="1" applyFill="1" applyBorder="1"/>
    <xf numFmtId="43" fontId="0" fillId="0" borderId="0" xfId="2" applyFont="1" applyFill="1" applyAlignment="1">
      <alignment vertical="top"/>
    </xf>
    <xf numFmtId="43" fontId="0" fillId="0" borderId="0" xfId="2" applyFont="1" applyFill="1"/>
    <xf numFmtId="4" fontId="0" fillId="0" borderId="0" xfId="0" applyNumberFormat="1"/>
    <xf numFmtId="0" fontId="1" fillId="0" borderId="0" xfId="0" applyFont="1"/>
    <xf numFmtId="43" fontId="0" fillId="0" borderId="0" xfId="0" applyNumberFormat="1"/>
    <xf numFmtId="43" fontId="0" fillId="0" borderId="0" xfId="2" applyFont="1" applyFill="1" applyBorder="1" applyAlignment="1">
      <alignment vertical="top"/>
    </xf>
    <xf numFmtId="2" fontId="0" fillId="0" borderId="0" xfId="0" applyNumberFormat="1"/>
    <xf numFmtId="2" fontId="0" fillId="0" borderId="0" xfId="2" applyNumberFormat="1" applyFont="1"/>
    <xf numFmtId="2" fontId="2" fillId="0" borderId="3" xfId="0" applyNumberFormat="1" applyFont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vertical="top"/>
    </xf>
    <xf numFmtId="2" fontId="0" fillId="0" borderId="0" xfId="2" applyNumberFormat="1" applyFont="1" applyFill="1"/>
    <xf numFmtId="43" fontId="2" fillId="0" borderId="6" xfId="2" applyFont="1" applyFill="1" applyBorder="1" applyAlignment="1">
      <alignment vertical="top"/>
    </xf>
    <xf numFmtId="43" fontId="2" fillId="0" borderId="0" xfId="2" applyFont="1" applyFill="1" applyBorder="1" applyAlignment="1">
      <alignment vertical="top"/>
    </xf>
    <xf numFmtId="43" fontId="2" fillId="0" borderId="3" xfId="2" applyFont="1" applyFill="1" applyBorder="1" applyAlignment="1">
      <alignment vertical="top"/>
    </xf>
    <xf numFmtId="164" fontId="0" fillId="0" borderId="0" xfId="2" applyNumberFormat="1" applyFont="1" applyAlignment="1">
      <alignment horizontal="center"/>
    </xf>
    <xf numFmtId="164" fontId="2" fillId="10" borderId="0" xfId="2" applyNumberFormat="1" applyFont="1" applyFill="1"/>
    <xf numFmtId="164" fontId="0" fillId="0" borderId="0" xfId="2" applyNumberFormat="1" applyFont="1"/>
    <xf numFmtId="164" fontId="2" fillId="0" borderId="2" xfId="2" applyNumberFormat="1" applyFont="1" applyBorder="1" applyAlignment="1">
      <alignment horizontal="center"/>
    </xf>
    <xf numFmtId="164" fontId="2" fillId="0" borderId="3" xfId="2" applyNumberFormat="1" applyFont="1" applyFill="1" applyBorder="1"/>
    <xf numFmtId="164" fontId="2" fillId="0" borderId="3" xfId="2" applyNumberFormat="1" applyFont="1" applyBorder="1" applyAlignment="1">
      <alignment horizontal="center"/>
    </xf>
    <xf numFmtId="164" fontId="2" fillId="0" borderId="4" xfId="2" applyNumberFormat="1" applyFont="1" applyBorder="1" applyAlignment="1">
      <alignment horizontal="center"/>
    </xf>
    <xf numFmtId="164" fontId="0" fillId="0" borderId="0" xfId="2" applyNumberFormat="1" applyFont="1" applyFill="1" applyAlignment="1">
      <alignment vertical="top"/>
    </xf>
    <xf numFmtId="164" fontId="0" fillId="0" borderId="0" xfId="2" applyNumberFormat="1" applyFont="1" applyAlignment="1">
      <alignment vertical="top"/>
    </xf>
    <xf numFmtId="164" fontId="0" fillId="0" borderId="0" xfId="2" applyNumberFormat="1" applyFont="1" applyFill="1"/>
    <xf numFmtId="164" fontId="7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6" xfId="2" applyNumberFormat="1" applyFont="1" applyFill="1" applyBorder="1" applyAlignment="1">
      <alignment vertical="top"/>
    </xf>
    <xf numFmtId="164" fontId="2" fillId="0" borderId="6" xfId="2" applyNumberFormat="1" applyFont="1" applyBorder="1" applyAlignment="1">
      <alignment vertical="top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 applyBorder="1" applyAlignment="1">
      <alignment vertical="top"/>
    </xf>
    <xf numFmtId="164" fontId="0" fillId="0" borderId="0" xfId="2" applyNumberFormat="1" applyFont="1" applyFill="1" applyBorder="1" applyAlignment="1">
      <alignment vertical="top"/>
    </xf>
    <xf numFmtId="164" fontId="9" fillId="6" borderId="0" xfId="2" applyNumberFormat="1" applyFont="1" applyFill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4" fontId="2" fillId="0" borderId="3" xfId="2" applyNumberFormat="1" applyFont="1" applyFill="1" applyBorder="1" applyAlignment="1">
      <alignment vertical="top"/>
    </xf>
    <xf numFmtId="164" fontId="2" fillId="0" borderId="3" xfId="2" applyNumberFormat="1" applyFont="1" applyBorder="1"/>
    <xf numFmtId="164" fontId="1" fillId="0" borderId="0" xfId="2" applyNumberFormat="1" applyFont="1" applyFill="1"/>
    <xf numFmtId="164" fontId="2" fillId="0" borderId="2" xfId="2" applyNumberFormat="1" applyFont="1" applyFill="1" applyBorder="1"/>
    <xf numFmtId="164" fontId="0" fillId="0" borderId="10" xfId="2" applyNumberFormat="1" applyFont="1" applyFill="1" applyBorder="1" applyAlignment="1">
      <alignment vertical="top"/>
    </xf>
    <xf numFmtId="164" fontId="0" fillId="0" borderId="0" xfId="2" applyNumberFormat="1" applyFont="1" applyBorder="1" applyAlignment="1">
      <alignment vertical="top"/>
    </xf>
    <xf numFmtId="164" fontId="0" fillId="0" borderId="0" xfId="2" applyNumberFormat="1" applyFont="1" applyFill="1" applyBorder="1"/>
    <xf numFmtId="164" fontId="0" fillId="0" borderId="0" xfId="2" applyNumberFormat="1" applyFont="1" applyBorder="1"/>
    <xf numFmtId="164" fontId="0" fillId="0" borderId="11" xfId="2" applyNumberFormat="1" applyFont="1" applyBorder="1"/>
    <xf numFmtId="164" fontId="0" fillId="0" borderId="11" xfId="2" applyNumberFormat="1" applyFont="1" applyFill="1" applyBorder="1"/>
    <xf numFmtId="164" fontId="1" fillId="0" borderId="10" xfId="2" applyNumberFormat="1" applyFont="1" applyBorder="1"/>
    <xf numFmtId="164" fontId="1" fillId="0" borderId="10" xfId="2" applyNumberFormat="1" applyFont="1" applyFill="1" applyBorder="1" applyAlignment="1">
      <alignment vertical="top"/>
    </xf>
    <xf numFmtId="164" fontId="8" fillId="0" borderId="10" xfId="2" applyNumberFormat="1" applyFont="1" applyFill="1" applyBorder="1" applyAlignment="1">
      <alignment vertical="top"/>
    </xf>
    <xf numFmtId="164" fontId="0" fillId="0" borderId="10" xfId="2" applyNumberFormat="1" applyFont="1" applyFill="1" applyBorder="1"/>
    <xf numFmtId="164" fontId="2" fillId="0" borderId="10" xfId="2" applyNumberFormat="1" applyFont="1" applyFill="1" applyBorder="1" applyAlignment="1">
      <alignment vertical="top"/>
    </xf>
    <xf numFmtId="164" fontId="2" fillId="0" borderId="0" xfId="2" applyNumberFormat="1" applyFont="1" applyBorder="1" applyAlignment="1">
      <alignment vertical="top"/>
    </xf>
    <xf numFmtId="164" fontId="6" fillId="0" borderId="10" xfId="2" applyNumberFormat="1" applyFont="1" applyFill="1" applyBorder="1"/>
    <xf numFmtId="164" fontId="1" fillId="0" borderId="0" xfId="2" applyNumberFormat="1" applyFont="1" applyBorder="1" applyAlignment="1">
      <alignment vertical="top"/>
    </xf>
    <xf numFmtId="164" fontId="2" fillId="0" borderId="0" xfId="2" applyNumberFormat="1" applyFont="1" applyBorder="1"/>
    <xf numFmtId="164" fontId="1" fillId="0" borderId="10" xfId="2" applyNumberFormat="1" applyFont="1" applyFill="1" applyBorder="1" applyAlignment="1">
      <alignment vertical="center"/>
    </xf>
    <xf numFmtId="164" fontId="9" fillId="0" borderId="10" xfId="2" applyNumberFormat="1" applyFont="1" applyFill="1" applyBorder="1" applyAlignment="1">
      <alignment vertical="top"/>
    </xf>
    <xf numFmtId="164" fontId="1" fillId="0" borderId="0" xfId="2" applyNumberFormat="1" applyFont="1" applyFill="1" applyBorder="1" applyAlignment="1">
      <alignment vertical="top"/>
    </xf>
    <xf numFmtId="164" fontId="1" fillId="0" borderId="0" xfId="2" applyNumberFormat="1" applyFont="1" applyBorder="1"/>
    <xf numFmtId="164" fontId="2" fillId="0" borderId="2" xfId="2" applyNumberFormat="1" applyFont="1" applyFill="1" applyBorder="1" applyAlignment="1">
      <alignment vertical="top"/>
    </xf>
    <xf numFmtId="164" fontId="2" fillId="0" borderId="9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vertical="top"/>
    </xf>
    <xf numFmtId="164" fontId="0" fillId="0" borderId="15" xfId="2" applyNumberFormat="1" applyFont="1" applyFill="1" applyBorder="1"/>
    <xf numFmtId="164" fontId="0" fillId="0" borderId="15" xfId="2" applyNumberFormat="1" applyFont="1" applyBorder="1"/>
    <xf numFmtId="164" fontId="2" fillId="0" borderId="16" xfId="2" applyNumberFormat="1" applyFont="1" applyBorder="1" applyAlignment="1">
      <alignment vertical="top"/>
    </xf>
    <xf numFmtId="164" fontId="2" fillId="0" borderId="15" xfId="2" applyNumberFormat="1" applyFont="1" applyBorder="1" applyAlignment="1">
      <alignment vertical="top"/>
    </xf>
    <xf numFmtId="164" fontId="2" fillId="0" borderId="15" xfId="2" applyNumberFormat="1" applyFont="1" applyBorder="1"/>
    <xf numFmtId="164" fontId="1" fillId="0" borderId="15" xfId="2" applyNumberFormat="1" applyFont="1" applyBorder="1"/>
    <xf numFmtId="164" fontId="2" fillId="0" borderId="9" xfId="2" applyNumberFormat="1" applyFont="1" applyBorder="1"/>
    <xf numFmtId="164" fontId="1" fillId="0" borderId="15" xfId="2" applyNumberFormat="1" applyFont="1" applyBorder="1" applyAlignment="1">
      <alignment vertical="top"/>
    </xf>
    <xf numFmtId="0" fontId="1" fillId="0" borderId="0" xfId="0" applyFont="1" applyAlignment="1">
      <alignment vertical="top"/>
    </xf>
    <xf numFmtId="49" fontId="0" fillId="0" borderId="10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0" borderId="0" xfId="2" applyFont="1" applyBorder="1"/>
    <xf numFmtId="0" fontId="0" fillId="0" borderId="10" xfId="0" applyBorder="1" applyAlignment="1">
      <alignment horizontal="center"/>
    </xf>
    <xf numFmtId="43" fontId="1" fillId="0" borderId="0" xfId="2" applyFont="1" applyFill="1" applyBorder="1" applyAlignment="1">
      <alignment vertical="top"/>
    </xf>
    <xf numFmtId="49" fontId="7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6" borderId="10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43" fontId="2" fillId="0" borderId="5" xfId="2" applyFont="1" applyFill="1" applyBorder="1" applyAlignment="1">
      <alignment vertical="top"/>
    </xf>
    <xf numFmtId="43" fontId="2" fillId="0" borderId="2" xfId="2" applyFont="1" applyFill="1" applyBorder="1" applyAlignment="1">
      <alignment vertical="top"/>
    </xf>
    <xf numFmtId="164" fontId="2" fillId="0" borderId="4" xfId="2" applyNumberFormat="1" applyFont="1" applyFill="1" applyBorder="1"/>
    <xf numFmtId="164" fontId="2" fillId="0" borderId="11" xfId="2" applyNumberFormat="1" applyFont="1" applyFill="1" applyBorder="1"/>
    <xf numFmtId="164" fontId="2" fillId="0" borderId="5" xfId="2" applyNumberFormat="1" applyFont="1" applyFill="1" applyBorder="1" applyAlignment="1">
      <alignment vertical="top"/>
    </xf>
    <xf numFmtId="164" fontId="2" fillId="0" borderId="7" xfId="2" applyNumberFormat="1" applyFont="1" applyFill="1" applyBorder="1"/>
    <xf numFmtId="164" fontId="2" fillId="0" borderId="16" xfId="2" applyNumberFormat="1" applyFont="1" applyBorder="1"/>
    <xf numFmtId="164" fontId="2" fillId="0" borderId="6" xfId="2" applyNumberFormat="1" applyFont="1" applyBorder="1"/>
    <xf numFmtId="164" fontId="8" fillId="0" borderId="15" xfId="2" applyNumberFormat="1" applyFont="1" applyBorder="1"/>
    <xf numFmtId="43" fontId="1" fillId="11" borderId="0" xfId="2" applyFont="1" applyFill="1" applyBorder="1" applyAlignment="1">
      <alignment vertical="top"/>
    </xf>
    <xf numFmtId="43" fontId="0" fillId="11" borderId="0" xfId="2" applyFont="1" applyFill="1" applyBorder="1" applyAlignment="1">
      <alignment vertical="top"/>
    </xf>
    <xf numFmtId="164" fontId="0" fillId="11" borderId="15" xfId="2" applyNumberFormat="1" applyFont="1" applyFill="1" applyBorder="1"/>
    <xf numFmtId="164" fontId="1" fillId="11" borderId="11" xfId="2" applyNumberFormat="1" applyFont="1" applyFill="1" applyBorder="1"/>
    <xf numFmtId="164" fontId="0" fillId="11" borderId="0" xfId="2" applyNumberFormat="1" applyFont="1" applyFill="1" applyBorder="1" applyAlignment="1">
      <alignment vertical="top"/>
    </xf>
    <xf numFmtId="164" fontId="0" fillId="11" borderId="15" xfId="2" applyNumberFormat="1" applyFont="1" applyFill="1" applyBorder="1" applyAlignment="1">
      <alignment vertical="top"/>
    </xf>
    <xf numFmtId="164" fontId="0" fillId="11" borderId="0" xfId="2" applyNumberFormat="1" applyFont="1" applyFill="1" applyBorder="1"/>
    <xf numFmtId="164" fontId="0" fillId="11" borderId="11" xfId="2" applyNumberFormat="1" applyFont="1" applyFill="1" applyBorder="1"/>
    <xf numFmtId="2" fontId="1" fillId="0" borderId="0" xfId="0" applyNumberFormat="1" applyFont="1" applyAlignment="1">
      <alignment horizontal="center"/>
    </xf>
    <xf numFmtId="2" fontId="2" fillId="0" borderId="17" xfId="0" applyNumberFormat="1" applyFont="1" applyBorder="1" applyAlignment="1">
      <alignment horizontal="center"/>
    </xf>
    <xf numFmtId="0" fontId="0" fillId="0" borderId="11" xfId="0" applyBorder="1"/>
    <xf numFmtId="164" fontId="0" fillId="11" borderId="0" xfId="0" applyNumberFormat="1" applyFill="1"/>
    <xf numFmtId="164" fontId="0" fillId="11" borderId="11" xfId="0" applyNumberFormat="1" applyFill="1" applyBorder="1"/>
    <xf numFmtId="164" fontId="0" fillId="0" borderId="11" xfId="0" applyNumberFormat="1" applyBorder="1"/>
    <xf numFmtId="2" fontId="2" fillId="0" borderId="18" xfId="0" applyNumberFormat="1" applyFont="1" applyBorder="1" applyAlignment="1">
      <alignment horizontal="center"/>
    </xf>
    <xf numFmtId="0" fontId="0" fillId="0" borderId="15" xfId="0" applyBorder="1"/>
    <xf numFmtId="164" fontId="0" fillId="11" borderId="15" xfId="0" applyNumberFormat="1" applyFill="1" applyBorder="1"/>
    <xf numFmtId="164" fontId="0" fillId="0" borderId="15" xfId="0" applyNumberForma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15" xfId="0" applyNumberFormat="1" applyFont="1" applyBorder="1"/>
    <xf numFmtId="164" fontId="2" fillId="0" borderId="11" xfId="0" applyNumberFormat="1" applyFont="1" applyBorder="1"/>
    <xf numFmtId="164" fontId="2" fillId="0" borderId="16" xfId="0" applyNumberFormat="1" applyFont="1" applyBorder="1"/>
    <xf numFmtId="164" fontId="2" fillId="0" borderId="7" xfId="0" applyNumberFormat="1" applyFont="1" applyBorder="1"/>
    <xf numFmtId="164" fontId="2" fillId="0" borderId="12" xfId="2" applyNumberFormat="1" applyFont="1" applyFill="1" applyBorder="1"/>
    <xf numFmtId="164" fontId="2" fillId="0" borderId="16" xfId="2" applyNumberFormat="1" applyFont="1" applyFill="1" applyBorder="1"/>
    <xf numFmtId="43" fontId="2" fillId="0" borderId="2" xfId="2" applyFont="1" applyFill="1" applyBorder="1"/>
    <xf numFmtId="43" fontId="0" fillId="0" borderId="10" xfId="2" applyFont="1" applyFill="1" applyBorder="1" applyAlignment="1">
      <alignment vertical="top"/>
    </xf>
    <xf numFmtId="43" fontId="1" fillId="0" borderId="10" xfId="2" applyFont="1" applyBorder="1"/>
    <xf numFmtId="43" fontId="1" fillId="0" borderId="10" xfId="2" applyFont="1" applyFill="1" applyBorder="1" applyAlignment="1">
      <alignment vertical="top"/>
    </xf>
    <xf numFmtId="43" fontId="8" fillId="0" borderId="10" xfId="2" applyFont="1" applyFill="1" applyBorder="1" applyAlignment="1">
      <alignment vertical="top"/>
    </xf>
    <xf numFmtId="43" fontId="0" fillId="0" borderId="10" xfId="2" applyFont="1" applyFill="1" applyBorder="1"/>
    <xf numFmtId="43" fontId="2" fillId="0" borderId="10" xfId="2" applyFont="1" applyFill="1" applyBorder="1" applyAlignment="1">
      <alignment vertical="top"/>
    </xf>
    <xf numFmtId="43" fontId="6" fillId="0" borderId="10" xfId="2" applyFont="1" applyFill="1" applyBorder="1"/>
    <xf numFmtId="43" fontId="1" fillId="0" borderId="10" xfId="2" applyFont="1" applyFill="1" applyBorder="1" applyAlignment="1">
      <alignment vertical="center"/>
    </xf>
    <xf numFmtId="43" fontId="9" fillId="0" borderId="10" xfId="2" applyFont="1" applyFill="1" applyBorder="1" applyAlignment="1">
      <alignment vertical="top"/>
    </xf>
    <xf numFmtId="164" fontId="2" fillId="0" borderId="10" xfId="2" applyNumberFormat="1" applyFont="1" applyFill="1" applyBorder="1"/>
    <xf numFmtId="164" fontId="2" fillId="0" borderId="15" xfId="2" applyNumberFormat="1" applyFont="1" applyFill="1" applyBorder="1"/>
    <xf numFmtId="164" fontId="2" fillId="0" borderId="9" xfId="2" applyNumberFormat="1" applyFont="1" applyFill="1" applyBorder="1"/>
    <xf numFmtId="164" fontId="0" fillId="0" borderId="10" xfId="2" applyNumberFormat="1" applyFont="1" applyBorder="1" applyAlignment="1">
      <alignment vertical="top"/>
    </xf>
    <xf numFmtId="164" fontId="0" fillId="0" borderId="10" xfId="2" applyNumberFormat="1" applyFont="1" applyBorder="1"/>
    <xf numFmtId="164" fontId="2" fillId="0" borderId="10" xfId="2" applyNumberFormat="1" applyFont="1" applyBorder="1"/>
    <xf numFmtId="164" fontId="0" fillId="0" borderId="18" xfId="2" applyNumberFormat="1" applyFont="1" applyBorder="1" applyAlignment="1">
      <alignment vertical="top"/>
    </xf>
    <xf numFmtId="164" fontId="2" fillId="0" borderId="19" xfId="0" applyNumberFormat="1" applyFont="1" applyBorder="1"/>
    <xf numFmtId="164" fontId="0" fillId="0" borderId="18" xfId="2" applyNumberFormat="1" applyFont="1" applyBorder="1"/>
    <xf numFmtId="4" fontId="0" fillId="0" borderId="0" xfId="0" applyNumberFormat="1" applyAlignment="1">
      <alignment vertical="top"/>
    </xf>
    <xf numFmtId="164" fontId="1" fillId="0" borderId="11" xfId="2" applyNumberFormat="1" applyFont="1" applyFill="1" applyBorder="1"/>
    <xf numFmtId="49" fontId="0" fillId="11" borderId="10" xfId="0" applyNumberFormat="1" applyFill="1" applyBorder="1" applyAlignment="1">
      <alignment horizontal="center"/>
    </xf>
    <xf numFmtId="164" fontId="0" fillId="11" borderId="10" xfId="2" applyNumberFormat="1" applyFont="1" applyFill="1" applyBorder="1"/>
    <xf numFmtId="43" fontId="1" fillId="11" borderId="10" xfId="2" applyFont="1" applyFill="1" applyBorder="1" applyAlignment="1">
      <alignment vertical="top"/>
    </xf>
    <xf numFmtId="164" fontId="1" fillId="11" borderId="10" xfId="2" applyNumberFormat="1" applyFont="1" applyFill="1" applyBorder="1" applyAlignment="1">
      <alignment vertical="top"/>
    </xf>
    <xf numFmtId="164" fontId="1" fillId="11" borderId="0" xfId="2" applyNumberFormat="1" applyFont="1" applyFill="1" applyBorder="1" applyAlignment="1">
      <alignment vertical="top"/>
    </xf>
    <xf numFmtId="0" fontId="2" fillId="10" borderId="0" xfId="0" applyFont="1" applyFill="1"/>
    <xf numFmtId="0" fontId="1" fillId="0" borderId="8" xfId="0" applyFont="1" applyBorder="1"/>
    <xf numFmtId="0" fontId="0" fillId="0" borderId="10" xfId="0" applyBorder="1"/>
    <xf numFmtId="0" fontId="0" fillId="0" borderId="14" xfId="0" applyBorder="1"/>
    <xf numFmtId="164" fontId="1" fillId="11" borderId="15" xfId="2" applyNumberFormat="1" applyFont="1" applyFill="1" applyBorder="1"/>
    <xf numFmtId="0" fontId="1" fillId="0" borderId="14" xfId="0" applyFont="1" applyBorder="1"/>
    <xf numFmtId="0" fontId="1" fillId="0" borderId="13" xfId="0" applyFont="1" applyBorder="1"/>
    <xf numFmtId="0" fontId="1" fillId="0" borderId="18" xfId="0" applyFont="1" applyBorder="1"/>
    <xf numFmtId="2" fontId="0" fillId="0" borderId="15" xfId="0" applyNumberFormat="1" applyBorder="1"/>
    <xf numFmtId="9" fontId="0" fillId="0" borderId="1" xfId="3" applyFont="1" applyBorder="1"/>
    <xf numFmtId="9" fontId="0" fillId="0" borderId="19" xfId="3" applyFont="1" applyBorder="1"/>
    <xf numFmtId="164" fontId="0" fillId="0" borderId="0" xfId="0" applyNumberFormat="1"/>
    <xf numFmtId="43" fontId="2" fillId="0" borderId="4" xfId="2" applyFont="1" applyFill="1" applyBorder="1"/>
    <xf numFmtId="43" fontId="0" fillId="0" borderId="11" xfId="2" applyFont="1" applyFill="1" applyBorder="1" applyAlignment="1">
      <alignment vertical="top"/>
    </xf>
    <xf numFmtId="43" fontId="1" fillId="0" borderId="11" xfId="2" applyFont="1" applyBorder="1"/>
    <xf numFmtId="43" fontId="1" fillId="0" borderId="11" xfId="2" applyFont="1" applyFill="1" applyBorder="1" applyAlignment="1">
      <alignment vertical="top"/>
    </xf>
    <xf numFmtId="43" fontId="8" fillId="0" borderId="11" xfId="2" applyFont="1" applyFill="1" applyBorder="1" applyAlignment="1">
      <alignment vertical="top"/>
    </xf>
    <xf numFmtId="43" fontId="0" fillId="0" borderId="11" xfId="2" applyFont="1" applyFill="1" applyBorder="1"/>
    <xf numFmtId="43" fontId="2" fillId="0" borderId="20" xfId="2" applyFont="1" applyFill="1" applyBorder="1" applyAlignment="1">
      <alignment vertical="top"/>
    </xf>
    <xf numFmtId="43" fontId="2" fillId="0" borderId="11" xfId="2" applyFont="1" applyFill="1" applyBorder="1" applyAlignment="1">
      <alignment vertical="top"/>
    </xf>
    <xf numFmtId="43" fontId="6" fillId="0" borderId="11" xfId="2" applyFont="1" applyFill="1" applyBorder="1"/>
    <xf numFmtId="43" fontId="1" fillId="11" borderId="11" xfId="2" applyFont="1" applyFill="1" applyBorder="1" applyAlignment="1">
      <alignment vertical="top"/>
    </xf>
    <xf numFmtId="43" fontId="1" fillId="0" borderId="11" xfId="2" applyFont="1" applyFill="1" applyBorder="1" applyAlignment="1">
      <alignment vertical="center"/>
    </xf>
    <xf numFmtId="43" fontId="9" fillId="0" borderId="11" xfId="2" applyFont="1" applyFill="1" applyBorder="1" applyAlignment="1">
      <alignment vertical="top"/>
    </xf>
    <xf numFmtId="43" fontId="2" fillId="0" borderId="9" xfId="2" applyFont="1" applyFill="1" applyBorder="1" applyAlignment="1">
      <alignment vertical="top"/>
    </xf>
    <xf numFmtId="2" fontId="0" fillId="0" borderId="10" xfId="0" applyNumberFormat="1" applyBorder="1"/>
    <xf numFmtId="2" fontId="1" fillId="0" borderId="10" xfId="0" applyNumberFormat="1" applyFont="1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3" xfId="0" applyBorder="1"/>
    <xf numFmtId="0" fontId="1" fillId="0" borderId="2" xfId="0" applyFont="1" applyBorder="1"/>
    <xf numFmtId="9" fontId="0" fillId="0" borderId="9" xfId="3" applyFont="1" applyBorder="1"/>
    <xf numFmtId="9" fontId="0" fillId="0" borderId="3" xfId="3" applyFont="1" applyBorder="1"/>
    <xf numFmtId="0" fontId="2" fillId="0" borderId="18" xfId="0" applyFont="1" applyBorder="1"/>
    <xf numFmtId="0" fontId="2" fillId="0" borderId="9" xfId="0" applyFont="1" applyBorder="1"/>
    <xf numFmtId="0" fontId="2" fillId="0" borderId="15" xfId="0" applyFont="1" applyBorder="1"/>
    <xf numFmtId="9" fontId="2" fillId="0" borderId="9" xfId="3" applyFont="1" applyBorder="1"/>
    <xf numFmtId="9" fontId="2" fillId="0" borderId="19" xfId="3" applyFont="1" applyBorder="1"/>
    <xf numFmtId="0" fontId="2" fillId="0" borderId="3" xfId="0" applyFont="1" applyBorder="1"/>
    <xf numFmtId="0" fontId="1" fillId="0" borderId="9" xfId="0" applyFont="1" applyBorder="1"/>
    <xf numFmtId="164" fontId="2" fillId="0" borderId="0" xfId="0" applyNumberFormat="1" applyFont="1"/>
    <xf numFmtId="164" fontId="2" fillId="0" borderId="19" xfId="2" applyNumberFormat="1" applyFont="1" applyFill="1" applyBorder="1"/>
    <xf numFmtId="164" fontId="7" fillId="0" borderId="15" xfId="2" applyNumberFormat="1" applyFont="1" applyBorder="1"/>
    <xf numFmtId="164" fontId="0" fillId="0" borderId="0" xfId="2" quotePrefix="1" applyNumberFormat="1" applyFont="1" applyFill="1" applyBorder="1"/>
    <xf numFmtId="164" fontId="7" fillId="0" borderId="0" xfId="2" quotePrefix="1" applyNumberFormat="1" applyFont="1" applyFill="1" applyBorder="1"/>
    <xf numFmtId="164" fontId="1" fillId="11" borderId="0" xfId="0" applyNumberFormat="1" applyFont="1" applyFill="1"/>
    <xf numFmtId="165" fontId="0" fillId="0" borderId="0" xfId="3" applyNumberFormat="1" applyFont="1"/>
    <xf numFmtId="0" fontId="3" fillId="0" borderId="0" xfId="0" applyFont="1"/>
    <xf numFmtId="0" fontId="0" fillId="0" borderId="0" xfId="0"/>
    <xf numFmtId="164" fontId="0" fillId="11" borderId="10" xfId="2" applyNumberFormat="1" applyFont="1" applyFill="1" applyBorder="1" applyAlignment="1">
      <alignment vertical="top"/>
    </xf>
    <xf numFmtId="0" fontId="2" fillId="10" borderId="0" xfId="0" applyFont="1" applyFill="1" applyAlignment="1">
      <alignment horizontal="center"/>
    </xf>
    <xf numFmtId="0" fontId="1" fillId="0" borderId="21" xfId="0" applyFont="1" applyBorder="1"/>
    <xf numFmtId="164" fontId="0" fillId="0" borderId="21" xfId="2" applyNumberFormat="1" applyFont="1" applyBorder="1"/>
    <xf numFmtId="3" fontId="0" fillId="0" borderId="21" xfId="0" applyNumberFormat="1" applyBorder="1"/>
    <xf numFmtId="164" fontId="0" fillId="0" borderId="21" xfId="0" applyNumberFormat="1" applyBorder="1"/>
    <xf numFmtId="0" fontId="2" fillId="0" borderId="21" xfId="0" applyFont="1" applyBorder="1"/>
    <xf numFmtId="164" fontId="2" fillId="0" borderId="21" xfId="0" applyNumberFormat="1" applyFont="1" applyBorder="1"/>
    <xf numFmtId="0" fontId="1" fillId="0" borderId="21" xfId="0" applyFont="1" applyFill="1" applyBorder="1"/>
  </cellXfs>
  <cellStyles count="4">
    <cellStyle name="Komma" xfId="2" builtinId="3"/>
    <cellStyle name="Normal" xfId="0" builtinId="0"/>
    <cellStyle name="Normal 2" xfId="1" xr:uid="{12A22A97-D192-409F-837B-486A3CA9A36E}"/>
    <cellStyle name="Prosent" xfId="3" builtinId="5"/>
  </cellStyles>
  <dxfs count="0"/>
  <tableStyles count="0"/>
  <colors>
    <mruColors>
      <color rgb="FFFFFFCC"/>
      <color rgb="FFEFF6AA"/>
      <color rgb="FFE9C5F3"/>
      <color rgb="FFA4ED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914400</xdr:colOff>
      <xdr:row>0</xdr:row>
      <xdr:rowOff>85725</xdr:rowOff>
    </xdr:from>
    <xdr:to>
      <xdr:col>6</xdr:col>
      <xdr:colOff>1264342</xdr:colOff>
      <xdr:row>1</xdr:row>
      <xdr:rowOff>152439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D415FB0-4542-402C-A2CD-90A47BE3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85725"/>
          <a:ext cx="1645342" cy="4000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homas Andersen" id="{EB381E63-AE49-462E-B4B1-3C8B09D81283}" userId="S::thomas.andersen@dnt.no::89066425-802b-4cd9-ac56-2bb7ba4267a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2-18T08:23:54.62" personId="{EB381E63-AE49-462E-B4B1-3C8B09D81283}" id="{C1C30887-840C-4590-AA6E-90F4C601223A}">
    <text>Forventet økning i KPI (SSB)</text>
  </threadedComment>
  <threadedComment ref="D28" dT="2024-12-17T19:29:00.08" personId="{EB381E63-AE49-462E-B4B1-3C8B09D81283}" id="{768E4835-D805-4511-9E58-A19F842BDA0E}">
    <text>Her ligger det et potensial med økt markedsføring av hyttene. Ligger langt under Tønsberg/Sandefjord/Larvik</text>
  </threadedComment>
  <threadedComment ref="F67" dT="2024-12-17T18:23:55.63" personId="{EB381E63-AE49-462E-B4B1-3C8B09D81283}" id="{3A5259DD-DF37-4F09-BD7A-EA6A5E32195A}">
    <text>Justert opp grunnet stor endring fra 2023-24</text>
  </threadedComment>
  <threadedComment ref="J67" dT="2024-12-17T18:40:39.12" personId="{EB381E63-AE49-462E-B4B1-3C8B09D81283}" id="{C41E01D6-2042-4C41-BF93-FD0BB5E2A5D1}">
    <text>Forventet økning i lønnsmidler via tilskudd</text>
  </threadedComment>
  <threadedComment ref="D68" dT="2024-12-17T19:26:40.83" personId="{EB381E63-AE49-462E-B4B1-3C8B09D81283}" id="{C305F593-E177-4239-898F-B29465D2DB15}">
    <text>Økt da mange av kostnadene til hytte og utstyr kan finansieres gjennom tilskuddsmidler</text>
  </threadedComment>
  <threadedComment ref="F75" dT="2024-12-17T18:26:31.38" personId="{EB381E63-AE49-462E-B4B1-3C8B09D81283}" id="{E6D168E9-AD07-4B5C-9892-6441D683A340}">
    <text xml:space="preserve">Justert opp grunnet stor endring i 2024
</text>
  </threadedComment>
  <threadedComment ref="D83" dT="2024-12-17T19:30:15.29" personId="{EB381E63-AE49-462E-B4B1-3C8B09D81283}" id="{7F9CA739-8690-4525-925D-4FEA20C056CF}">
    <text>Flyttet til konto 3070</text>
  </threadedComment>
  <threadedComment ref="H150" dT="2024-12-17T18:39:41.73" personId="{EB381E63-AE49-462E-B4B1-3C8B09D81283}" id="{FC24FA10-1E53-4427-9BB2-99438C481790}">
    <text>Justert opp grunnet nyansettelse 50%</text>
  </threadedComment>
  <threadedComment ref="F151" dT="2024-12-17T18:22:43.82" personId="{EB381E63-AE49-462E-B4B1-3C8B09D81283}" id="{7ED50062-EC7E-491F-92BA-0D2ECA6312D9}">
    <text xml:space="preserve">Justert opp grunnet nyansettelser. </text>
  </threadedComment>
  <threadedComment ref="B237" dT="2024-12-17T18:30:11.41" personId="{EB381E63-AE49-462E-B4B1-3C8B09D81283}" id="{6CAF49E3-3652-417D-9679-D6A5B3193A02}">
    <text>Reduseres fordi en ansatt skal jobbe med regnskap, og behovet for kjøp av tjenester blir mindre</text>
  </threadedComment>
  <threadedComment ref="B257" dT="2024-12-17T19:09:17.38" personId="{EB381E63-AE49-462E-B4B1-3C8B09D81283}" id="{010BBA0D-59F2-446E-9FC8-3DAB5619D151}">
    <text>Også hentet fra raden under, da det nok er feilført noe i Tønsberg</text>
  </threadedComment>
  <threadedComment ref="F269" dT="2024-12-17T18:30:56.90" personId="{EB381E63-AE49-462E-B4B1-3C8B09D81283}" id="{FA6144AA-222E-4932-9DD6-DD6CAF906C95}">
    <text>Reduseres grunnet stor endring i 24 og budsjett for 25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4-12-18T08:53:59.14" personId="{EB381E63-AE49-462E-B4B1-3C8B09D81283}" id="{79A3B2A8-7193-450B-89C7-9E6075F49EB9}">
    <text>Driftstilskudd VFK, Bufdir, DNB, Gjensidige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F291-8228-4554-A482-9366E5686A09}">
  <sheetPr>
    <tabColor theme="3" tint="0.39997558519241921"/>
    <outlinePr summaryBelow="0" summaryRight="0"/>
    <pageSetUpPr fitToPage="1"/>
  </sheetPr>
  <dimension ref="A1:L335"/>
  <sheetViews>
    <sheetView zoomScaleNormal="100" workbookViewId="0">
      <pane ySplit="3" topLeftCell="A4" activePane="bottomLeft" state="frozen"/>
      <selection pane="bottomLeft" activeCell="H87" sqref="H87"/>
    </sheetView>
  </sheetViews>
  <sheetFormatPr baseColWidth="10" defaultColWidth="9.1796875" defaultRowHeight="14.5" outlineLevelRow="1" x14ac:dyDescent="0.35"/>
  <cols>
    <col min="1" max="1" width="7.1796875" style="14" customWidth="1"/>
    <col min="2" max="2" width="62.1796875" style="16" customWidth="1"/>
    <col min="3" max="3" width="63.81640625" style="16" hidden="1" customWidth="1"/>
    <col min="4" max="4" width="17.81640625" style="27" customWidth="1"/>
    <col min="5" max="6" width="17.453125" style="27" customWidth="1"/>
    <col min="7" max="7" width="17.453125" style="28" customWidth="1"/>
    <col min="8" max="9" width="17.453125" style="27" customWidth="1"/>
    <col min="10" max="10" width="17" customWidth="1"/>
    <col min="11" max="11" width="16.81640625" customWidth="1"/>
    <col min="12" max="12" width="17.1796875" customWidth="1"/>
  </cols>
  <sheetData>
    <row r="1" spans="1:12" x14ac:dyDescent="0.35">
      <c r="A1" s="37"/>
      <c r="B1" s="38" t="s">
        <v>1317</v>
      </c>
      <c r="C1" s="39"/>
      <c r="D1" s="215">
        <v>8.6400000000000005E-2</v>
      </c>
      <c r="E1" s="39"/>
      <c r="F1" s="39"/>
      <c r="G1" s="39"/>
      <c r="H1" s="39"/>
      <c r="I1" s="39"/>
    </row>
    <row r="2" spans="1:12" x14ac:dyDescent="0.35">
      <c r="A2" s="37"/>
      <c r="B2" s="39"/>
      <c r="C2" s="39"/>
      <c r="D2" s="39"/>
      <c r="E2" s="39"/>
      <c r="F2" s="39"/>
      <c r="G2" s="39"/>
      <c r="H2" s="39"/>
      <c r="I2" s="39"/>
      <c r="J2" s="125" t="s">
        <v>1300</v>
      </c>
    </row>
    <row r="3" spans="1:12" x14ac:dyDescent="0.35">
      <c r="A3" s="40" t="s">
        <v>1</v>
      </c>
      <c r="B3" s="61" t="s">
        <v>2</v>
      </c>
      <c r="C3" s="41" t="s">
        <v>880</v>
      </c>
      <c r="D3" s="82" t="s">
        <v>1278</v>
      </c>
      <c r="E3" s="42" t="s">
        <v>1279</v>
      </c>
      <c r="F3" s="82" t="s">
        <v>1280</v>
      </c>
      <c r="G3" s="19" t="s">
        <v>1277</v>
      </c>
      <c r="H3" s="82" t="s">
        <v>1281</v>
      </c>
      <c r="I3" s="42" t="s">
        <v>1282</v>
      </c>
      <c r="J3" s="107" t="s">
        <v>1297</v>
      </c>
      <c r="K3" s="107" t="s">
        <v>1298</v>
      </c>
      <c r="L3" s="31" t="s">
        <v>1301</v>
      </c>
    </row>
    <row r="4" spans="1:12" collapsed="1" x14ac:dyDescent="0.35">
      <c r="A4" s="37"/>
      <c r="B4" s="62" t="s">
        <v>903</v>
      </c>
      <c r="C4" s="54"/>
      <c r="D4" s="83">
        <f>SUM(D5:D65)</f>
        <v>103251.65493333334</v>
      </c>
      <c r="E4" s="83">
        <f>SUM(E5:E65)</f>
        <v>393406.08159999998</v>
      </c>
      <c r="F4" s="83">
        <f t="shared" ref="F4" si="0">SUM(F5:F65)</f>
        <v>974232.45920000004</v>
      </c>
      <c r="G4" s="83">
        <f t="shared" ref="G4:H4" si="1">SUM(G5:G65)</f>
        <v>1186259.7152</v>
      </c>
      <c r="H4" s="83">
        <f t="shared" si="1"/>
        <v>972052.05440000002</v>
      </c>
      <c r="I4" s="83">
        <f t="shared" ref="I4" si="2">SUM(I5:I65)</f>
        <v>243557.84320000003</v>
      </c>
      <c r="J4" s="159"/>
      <c r="K4" s="134">
        <f>+I4+J4</f>
        <v>243557.84320000003</v>
      </c>
      <c r="L4" s="130">
        <f>K4+D4+E4+F4+G4+H4</f>
        <v>3872759.8085333332</v>
      </c>
    </row>
    <row r="5" spans="1:12" hidden="1" outlineLevel="1" x14ac:dyDescent="0.35">
      <c r="A5" s="37" t="s">
        <v>328</v>
      </c>
      <c r="B5" s="62" t="s">
        <v>329</v>
      </c>
      <c r="C5" s="54" t="s">
        <v>903</v>
      </c>
      <c r="D5" s="84">
        <f>+Referanseark!D5+(Referanseark!D5*'P2026 '!$D$1)</f>
        <v>0</v>
      </c>
      <c r="E5" s="84">
        <f>+Referanseark!E5+(Referanseark!E5*'P2026 '!$D$1)</f>
        <v>0</v>
      </c>
      <c r="F5" s="84">
        <f>+Referanseark!F5+(Referanseark!F5*'P2026 '!$D$1)</f>
        <v>54693.721599999997</v>
      </c>
      <c r="G5" s="84">
        <f>+Referanseark!G5+(Referanseark!G5*'P2026 '!$D$1)</f>
        <v>316.14240000000001</v>
      </c>
      <c r="H5" s="84">
        <f>+Referanseark!H5+(Referanseark!H5*'P2026 '!$D$1)</f>
        <v>0</v>
      </c>
      <c r="I5" s="84">
        <f>+Referanseark!I5+(Referanseark!I5*'P2026 '!$D$1)</f>
        <v>0</v>
      </c>
      <c r="J5" s="85"/>
      <c r="K5" s="134">
        <f t="shared" ref="K5:K68" si="3">I5+J5</f>
        <v>0</v>
      </c>
      <c r="L5" s="130">
        <f t="shared" ref="L5:L68" si="4">K5+D5+E5+F5+G5+H5</f>
        <v>55009.863999999994</v>
      </c>
    </row>
    <row r="6" spans="1:12" hidden="1" outlineLevel="1" x14ac:dyDescent="0.35">
      <c r="A6" s="37" t="s">
        <v>330</v>
      </c>
      <c r="B6" s="62" t="s">
        <v>331</v>
      </c>
      <c r="C6" s="54" t="s">
        <v>903</v>
      </c>
      <c r="D6" s="84">
        <f>+Referanseark!D6+(Referanseark!D6*'P2026 '!$D$1)</f>
        <v>0</v>
      </c>
      <c r="E6" s="84">
        <f>+Referanseark!E6+(Referanseark!E6*'P2026 '!$D$1)</f>
        <v>0</v>
      </c>
      <c r="F6" s="84">
        <f>+Referanseark!F6+(Referanseark!F6*'P2026 '!$D$1)</f>
        <v>14700.0784</v>
      </c>
      <c r="G6" s="84">
        <f>+Referanseark!G6+(Referanseark!G6*'P2026 '!$D$1)</f>
        <v>12781.495999999999</v>
      </c>
      <c r="H6" s="84">
        <f>+Referanseark!H6+(Referanseark!H6*'P2026 '!$D$1)</f>
        <v>0</v>
      </c>
      <c r="I6" s="84">
        <f>+Referanseark!I6+(Referanseark!I6*'P2026 '!$D$1)</f>
        <v>0</v>
      </c>
      <c r="J6" s="85"/>
      <c r="K6" s="134">
        <f t="shared" si="3"/>
        <v>0</v>
      </c>
      <c r="L6" s="130">
        <f t="shared" si="4"/>
        <v>27481.574399999998</v>
      </c>
    </row>
    <row r="7" spans="1:12" hidden="1" outlineLevel="1" x14ac:dyDescent="0.35">
      <c r="A7" s="37" t="s">
        <v>332</v>
      </c>
      <c r="B7" s="62" t="s">
        <v>333</v>
      </c>
      <c r="C7" s="54" t="s">
        <v>903</v>
      </c>
      <c r="D7" s="84">
        <f>+Referanseark!D7+(Referanseark!D7*'P2026 '!$D$1)</f>
        <v>34949.487999999998</v>
      </c>
      <c r="E7" s="84">
        <f>+Referanseark!E7+(Referanseark!E7*'P2026 '!$D$1)</f>
        <v>0</v>
      </c>
      <c r="F7" s="84">
        <f>+Referanseark!F7+(Referanseark!F7*'P2026 '!$D$1)</f>
        <v>0</v>
      </c>
      <c r="G7" s="84">
        <f>+Referanseark!G7+(Referanseark!G7*'P2026 '!$D$1)</f>
        <v>1104.8688</v>
      </c>
      <c r="H7" s="84">
        <f>+Referanseark!H7+(Referanseark!H7*'P2026 '!$D$1)</f>
        <v>115239.88</v>
      </c>
      <c r="I7" s="84">
        <f>+Referanseark!I7+(Referanseark!I7*'P2026 '!$D$1)</f>
        <v>0</v>
      </c>
      <c r="J7" s="85"/>
      <c r="K7" s="134">
        <f t="shared" si="3"/>
        <v>0</v>
      </c>
      <c r="L7" s="130">
        <f t="shared" si="4"/>
        <v>151294.23680000001</v>
      </c>
    </row>
    <row r="8" spans="1:12" hidden="1" outlineLevel="1" x14ac:dyDescent="0.35">
      <c r="A8" s="37" t="s">
        <v>334</v>
      </c>
      <c r="B8" s="62" t="s">
        <v>335</v>
      </c>
      <c r="C8" s="54" t="s">
        <v>903</v>
      </c>
      <c r="D8" s="84">
        <f>+Referanseark!D8+(Referanseark!D8*'P2026 '!$D$1)</f>
        <v>0</v>
      </c>
      <c r="E8" s="84">
        <f>+Referanseark!E8+(Referanseark!E8*'P2026 '!$D$1)</f>
        <v>0</v>
      </c>
      <c r="F8" s="84">
        <f>+Referanseark!F8+(Referanseark!F8*'P2026 '!$D$1)</f>
        <v>0</v>
      </c>
      <c r="G8" s="84">
        <f>+Referanseark!G8+(Referanseark!G8*'P2026 '!$D$1)</f>
        <v>0</v>
      </c>
      <c r="H8" s="84">
        <f>+Referanseark!H8+(Referanseark!H8*'P2026 '!$D$1)</f>
        <v>0</v>
      </c>
      <c r="I8" s="84">
        <f>+Referanseark!I8+(Referanseark!I8*'P2026 '!$D$1)</f>
        <v>0</v>
      </c>
      <c r="J8" s="85"/>
      <c r="K8" s="134">
        <f t="shared" si="3"/>
        <v>0</v>
      </c>
      <c r="L8" s="130">
        <f t="shared" si="4"/>
        <v>0</v>
      </c>
    </row>
    <row r="9" spans="1:12" hidden="1" outlineLevel="1" x14ac:dyDescent="0.35">
      <c r="A9" s="37" t="s">
        <v>336</v>
      </c>
      <c r="B9" s="62" t="s">
        <v>337</v>
      </c>
      <c r="C9" s="54" t="s">
        <v>903</v>
      </c>
      <c r="D9" s="84">
        <f>+Referanseark!D9+(Referanseark!D9*'P2026 '!$D$1)</f>
        <v>0</v>
      </c>
      <c r="E9" s="84">
        <f>+Referanseark!E9+(Referanseark!E9*'P2026 '!$D$1)</f>
        <v>0</v>
      </c>
      <c r="F9" s="84">
        <f>+Referanseark!F9+(Referanseark!F9*'P2026 '!$D$1)</f>
        <v>0</v>
      </c>
      <c r="G9" s="84">
        <f>+Referanseark!G9+(Referanseark!G9*'P2026 '!$D$1)</f>
        <v>0</v>
      </c>
      <c r="H9" s="84">
        <f>+Referanseark!H9+(Referanseark!H9*'P2026 '!$D$1)</f>
        <v>0</v>
      </c>
      <c r="I9" s="84">
        <f>+Referanseark!I9+(Referanseark!I9*'P2026 '!$D$1)</f>
        <v>0</v>
      </c>
      <c r="J9" s="85"/>
      <c r="K9" s="134">
        <f t="shared" si="3"/>
        <v>0</v>
      </c>
      <c r="L9" s="130">
        <f t="shared" si="4"/>
        <v>0</v>
      </c>
    </row>
    <row r="10" spans="1:12" hidden="1" outlineLevel="1" x14ac:dyDescent="0.35">
      <c r="A10" s="37" t="s">
        <v>338</v>
      </c>
      <c r="B10" s="62" t="s">
        <v>339</v>
      </c>
      <c r="C10" s="54" t="s">
        <v>903</v>
      </c>
      <c r="D10" s="84">
        <f>+Referanseark!D10+(Referanseark!D10*'P2026 '!$D$1)</f>
        <v>0</v>
      </c>
      <c r="E10" s="84">
        <f>+Referanseark!E10+(Referanseark!E10*'P2026 '!$D$1)</f>
        <v>0</v>
      </c>
      <c r="F10" s="84">
        <f>+Referanseark!F10+(Referanseark!F10*'P2026 '!$D$1)</f>
        <v>0</v>
      </c>
      <c r="G10" s="84">
        <f>+Referanseark!G10+(Referanseark!G10*'P2026 '!$D$1)</f>
        <v>0</v>
      </c>
      <c r="H10" s="84">
        <f>+Referanseark!H10+(Referanseark!H10*'P2026 '!$D$1)</f>
        <v>0</v>
      </c>
      <c r="I10" s="84">
        <f>+Referanseark!I10+(Referanseark!I10*'P2026 '!$D$1)</f>
        <v>0</v>
      </c>
      <c r="J10" s="85"/>
      <c r="K10" s="134">
        <f t="shared" si="3"/>
        <v>0</v>
      </c>
      <c r="L10" s="130">
        <f t="shared" si="4"/>
        <v>0</v>
      </c>
    </row>
    <row r="11" spans="1:12" hidden="1" outlineLevel="1" x14ac:dyDescent="0.35">
      <c r="A11" s="37" t="s">
        <v>340</v>
      </c>
      <c r="B11" s="62" t="s">
        <v>341</v>
      </c>
      <c r="C11" s="54" t="s">
        <v>903</v>
      </c>
      <c r="D11" s="84">
        <f>+Referanseark!D11+(Referanseark!D11*'P2026 '!$D$1)</f>
        <v>0</v>
      </c>
      <c r="E11" s="84">
        <f>+Referanseark!E11+(Referanseark!E11*'P2026 '!$D$1)</f>
        <v>0</v>
      </c>
      <c r="F11" s="84">
        <f>+Referanseark!F11+(Referanseark!F11*'P2026 '!$D$1)</f>
        <v>0</v>
      </c>
      <c r="G11" s="84">
        <f>+Referanseark!G11+(Referanseark!G11*'P2026 '!$D$1)</f>
        <v>0</v>
      </c>
      <c r="H11" s="84">
        <f>+Referanseark!H11+(Referanseark!H11*'P2026 '!$D$1)</f>
        <v>0</v>
      </c>
      <c r="I11" s="84">
        <f>+Referanseark!I11+(Referanseark!I11*'P2026 '!$D$1)</f>
        <v>0</v>
      </c>
      <c r="J11" s="85"/>
      <c r="K11" s="134">
        <f t="shared" si="3"/>
        <v>0</v>
      </c>
      <c r="L11" s="130">
        <f t="shared" si="4"/>
        <v>0</v>
      </c>
    </row>
    <row r="12" spans="1:12" hidden="1" outlineLevel="1" x14ac:dyDescent="0.35">
      <c r="A12" s="37" t="s">
        <v>342</v>
      </c>
      <c r="B12" s="62" t="s">
        <v>343</v>
      </c>
      <c r="C12" s="54" t="s">
        <v>903</v>
      </c>
      <c r="D12" s="84">
        <f>+Referanseark!D12+(Referanseark!D12*'P2026 '!$D$1)</f>
        <v>0</v>
      </c>
      <c r="E12" s="84">
        <f>+Referanseark!E12+(Referanseark!E12*'P2026 '!$D$1)</f>
        <v>0</v>
      </c>
      <c r="F12" s="84">
        <f>+Referanseark!F12+(Referanseark!F12*'P2026 '!$D$1)</f>
        <v>0</v>
      </c>
      <c r="G12" s="84">
        <f>+Referanseark!G12+(Referanseark!G12*'P2026 '!$D$1)</f>
        <v>0</v>
      </c>
      <c r="H12" s="84">
        <f>+Referanseark!H12+(Referanseark!H12*'P2026 '!$D$1)</f>
        <v>0</v>
      </c>
      <c r="I12" s="84">
        <f>+Referanseark!I12+(Referanseark!I12*'P2026 '!$D$1)</f>
        <v>0</v>
      </c>
      <c r="J12" s="85"/>
      <c r="K12" s="134">
        <f t="shared" si="3"/>
        <v>0</v>
      </c>
      <c r="L12" s="130">
        <f t="shared" si="4"/>
        <v>0</v>
      </c>
    </row>
    <row r="13" spans="1:12" hidden="1" outlineLevel="1" x14ac:dyDescent="0.35">
      <c r="A13" s="37" t="s">
        <v>344</v>
      </c>
      <c r="B13" s="62" t="s">
        <v>345</v>
      </c>
      <c r="C13" s="54" t="s">
        <v>903</v>
      </c>
      <c r="D13" s="84">
        <f>+Referanseark!D13+(Referanseark!D13*'P2026 '!$D$1)</f>
        <v>0</v>
      </c>
      <c r="E13" s="84">
        <f>+Referanseark!E13+(Referanseark!E13*'P2026 '!$D$1)</f>
        <v>0</v>
      </c>
      <c r="F13" s="84">
        <f>+Referanseark!F13+(Referanseark!F13*'P2026 '!$D$1)</f>
        <v>0</v>
      </c>
      <c r="G13" s="84">
        <f>+Referanseark!G13+(Referanseark!G13*'P2026 '!$D$1)</f>
        <v>0</v>
      </c>
      <c r="H13" s="84">
        <f>+Referanseark!H13+(Referanseark!H13*'P2026 '!$D$1)</f>
        <v>0</v>
      </c>
      <c r="I13" s="84">
        <f>+Referanseark!I13+(Referanseark!I13*'P2026 '!$D$1)</f>
        <v>0</v>
      </c>
      <c r="J13" s="85"/>
      <c r="K13" s="134">
        <f t="shared" si="3"/>
        <v>0</v>
      </c>
      <c r="L13" s="130">
        <f t="shared" si="4"/>
        <v>0</v>
      </c>
    </row>
    <row r="14" spans="1:12" hidden="1" outlineLevel="1" x14ac:dyDescent="0.35">
      <c r="A14" s="37" t="s">
        <v>346</v>
      </c>
      <c r="B14" s="62" t="s">
        <v>347</v>
      </c>
      <c r="C14" s="54" t="s">
        <v>903</v>
      </c>
      <c r="D14" s="84">
        <f>+Referanseark!D14+(Referanseark!D14*'P2026 '!$D$1)</f>
        <v>0</v>
      </c>
      <c r="E14" s="84">
        <f>+Referanseark!E14+(Referanseark!E14*'P2026 '!$D$1)</f>
        <v>0</v>
      </c>
      <c r="F14" s="84">
        <f>+Referanseark!F14+(Referanseark!F14*'P2026 '!$D$1)</f>
        <v>0</v>
      </c>
      <c r="G14" s="84">
        <f>+Referanseark!G14+(Referanseark!G14*'P2026 '!$D$1)</f>
        <v>0</v>
      </c>
      <c r="H14" s="84">
        <f>+Referanseark!H14+(Referanseark!H14*'P2026 '!$D$1)</f>
        <v>0</v>
      </c>
      <c r="I14" s="84">
        <f>+Referanseark!I14+(Referanseark!I14*'P2026 '!$D$1)</f>
        <v>0</v>
      </c>
      <c r="J14" s="85"/>
      <c r="K14" s="134">
        <f t="shared" si="3"/>
        <v>0</v>
      </c>
      <c r="L14" s="130">
        <f t="shared" si="4"/>
        <v>0</v>
      </c>
    </row>
    <row r="15" spans="1:12" hidden="1" outlineLevel="1" x14ac:dyDescent="0.35">
      <c r="A15" s="37" t="s">
        <v>348</v>
      </c>
      <c r="B15" s="62" t="s">
        <v>349</v>
      </c>
      <c r="C15" s="54" t="s">
        <v>903</v>
      </c>
      <c r="D15" s="84">
        <f>+Referanseark!D15+(Referanseark!D15*'P2026 '!$D$1)</f>
        <v>0</v>
      </c>
      <c r="E15" s="84">
        <f>+Referanseark!E15+(Referanseark!E15*'P2026 '!$D$1)</f>
        <v>0</v>
      </c>
      <c r="F15" s="84">
        <f>+Referanseark!F15+(Referanseark!F15*'P2026 '!$D$1)</f>
        <v>0</v>
      </c>
      <c r="G15" s="84">
        <f>+Referanseark!G15+(Referanseark!G15*'P2026 '!$D$1)</f>
        <v>0</v>
      </c>
      <c r="H15" s="84">
        <f>+Referanseark!H15+(Referanseark!H15*'P2026 '!$D$1)</f>
        <v>0</v>
      </c>
      <c r="I15" s="84">
        <f>+Referanseark!I15+(Referanseark!I15*'P2026 '!$D$1)</f>
        <v>0</v>
      </c>
      <c r="J15" s="85"/>
      <c r="K15" s="134">
        <f t="shared" si="3"/>
        <v>0</v>
      </c>
      <c r="L15" s="130">
        <f t="shared" si="4"/>
        <v>0</v>
      </c>
    </row>
    <row r="16" spans="1:12" hidden="1" outlineLevel="1" x14ac:dyDescent="0.35">
      <c r="A16" s="37" t="s">
        <v>350</v>
      </c>
      <c r="B16" s="62" t="s">
        <v>351</v>
      </c>
      <c r="C16" s="54" t="s">
        <v>903</v>
      </c>
      <c r="D16" s="84">
        <f>+Referanseark!D16+(Referanseark!D16*'P2026 '!$D$1)</f>
        <v>0</v>
      </c>
      <c r="E16" s="84">
        <f>+Referanseark!E16+(Referanseark!E16*'P2026 '!$D$1)</f>
        <v>0</v>
      </c>
      <c r="F16" s="84">
        <f>+Referanseark!F16+(Referanseark!F16*'P2026 '!$D$1)</f>
        <v>0</v>
      </c>
      <c r="G16" s="84">
        <f>+Referanseark!G16+(Referanseark!G16*'P2026 '!$D$1)</f>
        <v>0</v>
      </c>
      <c r="H16" s="84">
        <f>+Referanseark!H16+(Referanseark!H16*'P2026 '!$D$1)</f>
        <v>0</v>
      </c>
      <c r="I16" s="84">
        <f>+Referanseark!I16+(Referanseark!I16*'P2026 '!$D$1)</f>
        <v>0</v>
      </c>
      <c r="J16" s="85"/>
      <c r="K16" s="134">
        <f t="shared" si="3"/>
        <v>0</v>
      </c>
      <c r="L16" s="130">
        <f t="shared" si="4"/>
        <v>0</v>
      </c>
    </row>
    <row r="17" spans="1:12" hidden="1" outlineLevel="1" x14ac:dyDescent="0.35">
      <c r="A17" s="37" t="s">
        <v>352</v>
      </c>
      <c r="B17" s="62" t="s">
        <v>353</v>
      </c>
      <c r="C17" s="54" t="s">
        <v>903</v>
      </c>
      <c r="D17" s="84">
        <f>+Referanseark!D17+(Referanseark!D17*'P2026 '!$D$1)</f>
        <v>0</v>
      </c>
      <c r="E17" s="84">
        <f>+Referanseark!E17+(Referanseark!E17*'P2026 '!$D$1)</f>
        <v>0</v>
      </c>
      <c r="F17" s="84">
        <f>+Referanseark!F17+(Referanseark!F17*'P2026 '!$D$1)</f>
        <v>0</v>
      </c>
      <c r="G17" s="84">
        <f>+Referanseark!G17+(Referanseark!G17*'P2026 '!$D$1)</f>
        <v>0</v>
      </c>
      <c r="H17" s="84">
        <f>+Referanseark!H17+(Referanseark!H17*'P2026 '!$D$1)</f>
        <v>0</v>
      </c>
      <c r="I17" s="84">
        <f>+Referanseark!I17+(Referanseark!I17*'P2026 '!$D$1)</f>
        <v>0</v>
      </c>
      <c r="J17" s="85"/>
      <c r="K17" s="134">
        <f t="shared" si="3"/>
        <v>0</v>
      </c>
      <c r="L17" s="130">
        <f t="shared" si="4"/>
        <v>0</v>
      </c>
    </row>
    <row r="18" spans="1:12" hidden="1" outlineLevel="1" x14ac:dyDescent="0.35">
      <c r="A18" s="37" t="s">
        <v>354</v>
      </c>
      <c r="B18" s="62" t="s">
        <v>355</v>
      </c>
      <c r="C18" s="54" t="s">
        <v>903</v>
      </c>
      <c r="D18" s="84">
        <f>+Referanseark!D18+(Referanseark!D18*'P2026 '!$D$1)</f>
        <v>0</v>
      </c>
      <c r="E18" s="84">
        <f>+Referanseark!E18+(Referanseark!E18*'P2026 '!$D$1)</f>
        <v>0</v>
      </c>
      <c r="F18" s="84">
        <f>+Referanseark!F18+(Referanseark!F18*'P2026 '!$D$1)</f>
        <v>0</v>
      </c>
      <c r="G18" s="84">
        <f>+Referanseark!G18+(Referanseark!G18*'P2026 '!$D$1)</f>
        <v>0</v>
      </c>
      <c r="H18" s="84">
        <f>+Referanseark!H18+(Referanseark!H18*'P2026 '!$D$1)</f>
        <v>0</v>
      </c>
      <c r="I18" s="84">
        <f>+Referanseark!I18+(Referanseark!I18*'P2026 '!$D$1)</f>
        <v>0</v>
      </c>
      <c r="J18" s="85"/>
      <c r="K18" s="134">
        <f t="shared" si="3"/>
        <v>0</v>
      </c>
      <c r="L18" s="130">
        <f t="shared" si="4"/>
        <v>0</v>
      </c>
    </row>
    <row r="19" spans="1:12" hidden="1" outlineLevel="1" x14ac:dyDescent="0.35">
      <c r="A19" s="37" t="s">
        <v>356</v>
      </c>
      <c r="B19" s="62" t="s">
        <v>357</v>
      </c>
      <c r="C19" s="54" t="s">
        <v>903</v>
      </c>
      <c r="D19" s="84">
        <f>+Referanseark!D19+(Referanseark!D19*'P2026 '!$D$1)</f>
        <v>0</v>
      </c>
      <c r="E19" s="84">
        <f>+Referanseark!E19+(Referanseark!E19*'P2026 '!$D$1)</f>
        <v>0</v>
      </c>
      <c r="F19" s="84">
        <f>+Referanseark!F19+(Referanseark!F19*'P2026 '!$D$1)</f>
        <v>0</v>
      </c>
      <c r="G19" s="84">
        <f>+Referanseark!G19+(Referanseark!G19*'P2026 '!$D$1)</f>
        <v>6083.84</v>
      </c>
      <c r="H19" s="84">
        <f>+Referanseark!H19+(Referanseark!H19*'P2026 '!$D$1)</f>
        <v>0</v>
      </c>
      <c r="I19" s="84">
        <f>+Referanseark!I19+(Referanseark!I19*'P2026 '!$D$1)</f>
        <v>0</v>
      </c>
      <c r="J19" s="85"/>
      <c r="K19" s="134">
        <f t="shared" si="3"/>
        <v>0</v>
      </c>
      <c r="L19" s="130">
        <f t="shared" si="4"/>
        <v>6083.84</v>
      </c>
    </row>
    <row r="20" spans="1:12" hidden="1" outlineLevel="1" x14ac:dyDescent="0.35">
      <c r="A20" s="37" t="s">
        <v>358</v>
      </c>
      <c r="B20" s="62" t="s">
        <v>359</v>
      </c>
      <c r="C20" s="54" t="s">
        <v>903</v>
      </c>
      <c r="D20" s="84">
        <f>+Referanseark!D20+(Referanseark!D20*'P2026 '!$D$1)</f>
        <v>0</v>
      </c>
      <c r="E20" s="84">
        <f>+Referanseark!E20+(Referanseark!E20*'P2026 '!$D$1)</f>
        <v>0</v>
      </c>
      <c r="F20" s="84">
        <f>+Referanseark!F20+(Referanseark!F20*'P2026 '!$D$1)</f>
        <v>61225.1584</v>
      </c>
      <c r="G20" s="84">
        <f>+Referanseark!G20+(Referanseark!G20*'P2026 '!$D$1)</f>
        <v>25128.432000000001</v>
      </c>
      <c r="H20" s="84">
        <f>+Referanseark!H20+(Referanseark!H20*'P2026 '!$D$1)</f>
        <v>0</v>
      </c>
      <c r="I20" s="84">
        <f>+Referanseark!I20+(Referanseark!I20*'P2026 '!$D$1)</f>
        <v>0</v>
      </c>
      <c r="J20" s="85"/>
      <c r="K20" s="134">
        <f t="shared" si="3"/>
        <v>0</v>
      </c>
      <c r="L20" s="130">
        <f t="shared" si="4"/>
        <v>86353.590400000001</v>
      </c>
    </row>
    <row r="21" spans="1:12" hidden="1" outlineLevel="1" x14ac:dyDescent="0.35">
      <c r="A21" s="37" t="s">
        <v>360</v>
      </c>
      <c r="B21" s="62" t="s">
        <v>361</v>
      </c>
      <c r="C21" s="54" t="s">
        <v>903</v>
      </c>
      <c r="D21" s="84">
        <f>+Referanseark!D21+(Referanseark!D21*'P2026 '!$D$1)</f>
        <v>0</v>
      </c>
      <c r="E21" s="84">
        <f>+Referanseark!E21+(Referanseark!E21*'P2026 '!$D$1)</f>
        <v>0</v>
      </c>
      <c r="F21" s="84">
        <f>+Referanseark!F21+(Referanseark!F21*'P2026 '!$D$1)</f>
        <v>48454.526400000002</v>
      </c>
      <c r="G21" s="84">
        <f>+Referanseark!G21+(Referanseark!G21*'P2026 '!$D$1)</f>
        <v>470.41120000000001</v>
      </c>
      <c r="H21" s="84">
        <f>+Referanseark!H21+(Referanseark!H21*'P2026 '!$D$1)</f>
        <v>137791.37119999999</v>
      </c>
      <c r="I21" s="84">
        <f>+Referanseark!I21+(Referanseark!I21*'P2026 '!$D$1)</f>
        <v>0</v>
      </c>
      <c r="J21" s="85"/>
      <c r="K21" s="134">
        <f t="shared" si="3"/>
        <v>0</v>
      </c>
      <c r="L21" s="130">
        <f t="shared" si="4"/>
        <v>186716.3088</v>
      </c>
    </row>
    <row r="22" spans="1:12" hidden="1" outlineLevel="1" x14ac:dyDescent="0.35">
      <c r="A22" s="37" t="s">
        <v>362</v>
      </c>
      <c r="B22" s="62" t="s">
        <v>363</v>
      </c>
      <c r="C22" s="54" t="s">
        <v>903</v>
      </c>
      <c r="D22" s="84">
        <f>+Referanseark!D22+(Referanseark!D22*'P2026 '!$D$1)</f>
        <v>0</v>
      </c>
      <c r="E22" s="84">
        <f>+Referanseark!E22+(Referanseark!E22*'P2026 '!$D$1)</f>
        <v>0</v>
      </c>
      <c r="F22" s="84">
        <f>+Referanseark!F22+(Referanseark!F22*'P2026 '!$D$1)</f>
        <v>12433.848</v>
      </c>
      <c r="G22" s="84">
        <f>+Referanseark!G22+(Referanseark!G22*'P2026 '!$D$1)</f>
        <v>10835.7536</v>
      </c>
      <c r="H22" s="84">
        <f>+Referanseark!H22+(Referanseark!H22*'P2026 '!$D$1)</f>
        <v>57470.559999999998</v>
      </c>
      <c r="I22" s="84">
        <f>+Referanseark!I22+(Referanseark!I22*'P2026 '!$D$1)</f>
        <v>0</v>
      </c>
      <c r="J22" s="85"/>
      <c r="K22" s="134">
        <f t="shared" si="3"/>
        <v>0</v>
      </c>
      <c r="L22" s="130">
        <f t="shared" si="4"/>
        <v>80740.161599999992</v>
      </c>
    </row>
    <row r="23" spans="1:12" hidden="1" outlineLevel="1" x14ac:dyDescent="0.35">
      <c r="A23" s="37" t="s">
        <v>364</v>
      </c>
      <c r="B23" s="62" t="s">
        <v>365</v>
      </c>
      <c r="C23" s="54" t="s">
        <v>903</v>
      </c>
      <c r="D23" s="84">
        <f>+Referanseark!D23+(Referanseark!D23*'P2026 '!$D$1)</f>
        <v>1991.7333333333333</v>
      </c>
      <c r="E23" s="84">
        <f>+Referanseark!E23+(Referanseark!E23*'P2026 '!$D$1)</f>
        <v>0</v>
      </c>
      <c r="F23" s="84">
        <f>+Referanseark!F23+(Referanseark!F23*'P2026 '!$D$1)</f>
        <v>38120.689599999998</v>
      </c>
      <c r="G23" s="84">
        <f>+Referanseark!G23+(Referanseark!G23*'P2026 '!$D$1)</f>
        <v>43.456000000000003</v>
      </c>
      <c r="H23" s="84">
        <f>+Referanseark!H23+(Referanseark!H23*'P2026 '!$D$1)</f>
        <v>0</v>
      </c>
      <c r="I23" s="84">
        <f>+Referanseark!I23+(Referanseark!I23*'P2026 '!$D$1)</f>
        <v>0</v>
      </c>
      <c r="J23" s="85"/>
      <c r="K23" s="134">
        <f t="shared" si="3"/>
        <v>0</v>
      </c>
      <c r="L23" s="130">
        <f t="shared" si="4"/>
        <v>40155.878933333326</v>
      </c>
    </row>
    <row r="24" spans="1:12" hidden="1" outlineLevel="1" x14ac:dyDescent="0.35">
      <c r="A24" s="37" t="s">
        <v>366</v>
      </c>
      <c r="B24" s="62" t="s">
        <v>367</v>
      </c>
      <c r="C24" s="54" t="s">
        <v>903</v>
      </c>
      <c r="D24" s="84">
        <f>+Referanseark!D24+(Referanseark!D24*'P2026 '!$D$1)</f>
        <v>0</v>
      </c>
      <c r="E24" s="84">
        <f>+Referanseark!E24+(Referanseark!E24*'P2026 '!$D$1)</f>
        <v>0</v>
      </c>
      <c r="F24" s="84">
        <f>+Referanseark!F24+(Referanseark!F24*'P2026 '!$D$1)</f>
        <v>0</v>
      </c>
      <c r="G24" s="84">
        <f>+Referanseark!G24+(Referanseark!G24*'P2026 '!$D$1)</f>
        <v>0</v>
      </c>
      <c r="H24" s="84">
        <f>+Referanseark!H24+(Referanseark!H24*'P2026 '!$D$1)</f>
        <v>0</v>
      </c>
      <c r="I24" s="84">
        <f>+Referanseark!I24+(Referanseark!I24*'P2026 '!$D$1)</f>
        <v>0</v>
      </c>
      <c r="J24" s="85"/>
      <c r="K24" s="134">
        <f t="shared" si="3"/>
        <v>0</v>
      </c>
      <c r="L24" s="130">
        <f t="shared" si="4"/>
        <v>0</v>
      </c>
    </row>
    <row r="25" spans="1:12" hidden="1" outlineLevel="1" x14ac:dyDescent="0.35">
      <c r="A25" s="37" t="s">
        <v>368</v>
      </c>
      <c r="B25" s="62" t="s">
        <v>906</v>
      </c>
      <c r="C25" s="54" t="s">
        <v>903</v>
      </c>
      <c r="D25" s="84">
        <f>+Referanseark!D25+(Referanseark!D25*'P2026 '!$D$1)</f>
        <v>0</v>
      </c>
      <c r="E25" s="84">
        <f>+Referanseark!E25+(Referanseark!E25*'P2026 '!$D$1)</f>
        <v>0</v>
      </c>
      <c r="F25" s="84">
        <f>+Referanseark!F25+(Referanseark!F25*'P2026 '!$D$1)</f>
        <v>0</v>
      </c>
      <c r="G25" s="84">
        <f>+Referanseark!G25+(Referanseark!G25*'P2026 '!$D$1)</f>
        <v>0</v>
      </c>
      <c r="H25" s="84">
        <f>+Referanseark!H25+(Referanseark!H25*'P2026 '!$D$1)</f>
        <v>0</v>
      </c>
      <c r="I25" s="84">
        <f>+Referanseark!I25+(Referanseark!I25*'P2026 '!$D$1)</f>
        <v>0</v>
      </c>
      <c r="J25" s="85"/>
      <c r="K25" s="134">
        <f t="shared" si="3"/>
        <v>0</v>
      </c>
      <c r="L25" s="130">
        <f t="shared" si="4"/>
        <v>0</v>
      </c>
    </row>
    <row r="26" spans="1:12" hidden="1" outlineLevel="1" x14ac:dyDescent="0.35">
      <c r="A26" s="37" t="s">
        <v>370</v>
      </c>
      <c r="B26" s="62" t="s">
        <v>371</v>
      </c>
      <c r="C26" s="54" t="s">
        <v>903</v>
      </c>
      <c r="D26" s="84">
        <f>+Referanseark!D26+(Referanseark!D26*'P2026 '!$D$1)</f>
        <v>0</v>
      </c>
      <c r="E26" s="84">
        <f>+Referanseark!E26+(Referanseark!E26*'P2026 '!$D$1)</f>
        <v>0</v>
      </c>
      <c r="F26" s="84">
        <f>+Referanseark!F26+(Referanseark!F26*'P2026 '!$D$1)</f>
        <v>0</v>
      </c>
      <c r="G26" s="84">
        <f>+Referanseark!G26+(Referanseark!G26*'P2026 '!$D$1)</f>
        <v>0</v>
      </c>
      <c r="H26" s="84">
        <f>+Referanseark!H26+(Referanseark!H26*'P2026 '!$D$1)</f>
        <v>0</v>
      </c>
      <c r="I26" s="84">
        <f>+Referanseark!I26+(Referanseark!I26*'P2026 '!$D$1)</f>
        <v>0</v>
      </c>
      <c r="J26" s="85"/>
      <c r="K26" s="134">
        <f t="shared" si="3"/>
        <v>0</v>
      </c>
      <c r="L26" s="130">
        <f t="shared" si="4"/>
        <v>0</v>
      </c>
    </row>
    <row r="27" spans="1:12" hidden="1" outlineLevel="1" x14ac:dyDescent="0.35">
      <c r="A27" s="37" t="s">
        <v>372</v>
      </c>
      <c r="B27" s="62" t="s">
        <v>373</v>
      </c>
      <c r="C27" s="54" t="s">
        <v>903</v>
      </c>
      <c r="D27" s="84">
        <f>+Referanseark!D27+(Referanseark!D27*'P2026 '!$D$1)</f>
        <v>0</v>
      </c>
      <c r="E27" s="84">
        <f>+Referanseark!E27+(Referanseark!E27*'P2026 '!$D$1)</f>
        <v>0</v>
      </c>
      <c r="F27" s="84">
        <f>+Referanseark!F27+(Referanseark!F27*'P2026 '!$D$1)</f>
        <v>60797.116800000003</v>
      </c>
      <c r="G27" s="84">
        <f>+Referanseark!G27+(Referanseark!G27*'P2026 '!$D$1)</f>
        <v>0</v>
      </c>
      <c r="H27" s="84">
        <f>+Referanseark!H27+(Referanseark!H27*'P2026 '!$D$1)</f>
        <v>0</v>
      </c>
      <c r="I27" s="84">
        <f>+Referanseark!I27+(Referanseark!I27*'P2026 '!$D$1)</f>
        <v>0</v>
      </c>
      <c r="J27" s="85"/>
      <c r="K27" s="134">
        <f t="shared" si="3"/>
        <v>0</v>
      </c>
      <c r="L27" s="130">
        <f t="shared" si="4"/>
        <v>60797.116800000003</v>
      </c>
    </row>
    <row r="28" spans="1:12" hidden="1" outlineLevel="1" x14ac:dyDescent="0.35">
      <c r="A28" s="37" t="s">
        <v>374</v>
      </c>
      <c r="B28" s="62" t="s">
        <v>907</v>
      </c>
      <c r="C28" s="54" t="s">
        <v>903</v>
      </c>
      <c r="D28" s="119">
        <f>+Referanseark!D28+(Referanseark!D28*'P2026 '!$D$1)+15000+5900</f>
        <v>20900</v>
      </c>
      <c r="E28" s="84">
        <f>+Referanseark!E28+(Referanseark!E28*'P2026 '!$D$1)</f>
        <v>0</v>
      </c>
      <c r="F28" s="84">
        <f>+Referanseark!F28+(Referanseark!F28*'P2026 '!$D$1)</f>
        <v>142147.8352</v>
      </c>
      <c r="G28" s="84">
        <f>+Referanseark!G28+(Referanseark!G28*'P2026 '!$D$1)</f>
        <v>119166.1296</v>
      </c>
      <c r="H28" s="84">
        <f>+Referanseark!H28+(Referanseark!H28*'P2026 '!$D$1)</f>
        <v>133368.63680000001</v>
      </c>
      <c r="I28" s="84">
        <f>+Referanseark!I28+(Referanseark!I28*'P2026 '!$D$1)</f>
        <v>0</v>
      </c>
      <c r="J28" s="85"/>
      <c r="K28" s="134">
        <f t="shared" si="3"/>
        <v>0</v>
      </c>
      <c r="L28" s="130">
        <f t="shared" si="4"/>
        <v>415582.60160000005</v>
      </c>
    </row>
    <row r="29" spans="1:12" hidden="1" outlineLevel="1" x14ac:dyDescent="0.35">
      <c r="A29" s="37" t="s">
        <v>375</v>
      </c>
      <c r="B29" s="62" t="s">
        <v>376</v>
      </c>
      <c r="C29" s="54" t="s">
        <v>903</v>
      </c>
      <c r="D29" s="84">
        <f>+Referanseark!D29+(Referanseark!D29*'P2026 '!$D$1)</f>
        <v>0</v>
      </c>
      <c r="E29" s="84">
        <f>+Referanseark!E29+(Referanseark!E29*'P2026 '!$D$1)</f>
        <v>0</v>
      </c>
      <c r="F29" s="84">
        <f>+Referanseark!F29+(Referanseark!F29*'P2026 '!$D$1)</f>
        <v>0</v>
      </c>
      <c r="G29" s="84">
        <f>+Referanseark!G29+(Referanseark!G29*'P2026 '!$D$1)</f>
        <v>0</v>
      </c>
      <c r="H29" s="84">
        <f>+Referanseark!H29+(Referanseark!H29*'P2026 '!$D$1)</f>
        <v>0</v>
      </c>
      <c r="I29" s="84">
        <f>+Referanseark!I29+(Referanseark!I29*'P2026 '!$D$1)</f>
        <v>0</v>
      </c>
      <c r="J29" s="85"/>
      <c r="K29" s="134">
        <f t="shared" si="3"/>
        <v>0</v>
      </c>
      <c r="L29" s="130">
        <f t="shared" si="4"/>
        <v>0</v>
      </c>
    </row>
    <row r="30" spans="1:12" hidden="1" outlineLevel="1" x14ac:dyDescent="0.35">
      <c r="A30" s="37" t="s">
        <v>377</v>
      </c>
      <c r="B30" s="62" t="s">
        <v>378</v>
      </c>
      <c r="C30" s="54" t="s">
        <v>903</v>
      </c>
      <c r="D30" s="84">
        <f>+Referanseark!D30+(Referanseark!D30*'P2026 '!$D$1)</f>
        <v>0</v>
      </c>
      <c r="E30" s="84">
        <f>+Referanseark!E30+(Referanseark!E30*'P2026 '!$D$1)</f>
        <v>0</v>
      </c>
      <c r="F30" s="84">
        <f>+Referanseark!F30+(Referanseark!F30*'P2026 '!$D$1)</f>
        <v>0</v>
      </c>
      <c r="G30" s="84">
        <f>+Referanseark!G30+(Referanseark!G30*'P2026 '!$D$1)</f>
        <v>0</v>
      </c>
      <c r="H30" s="84">
        <f>+Referanseark!H30+(Referanseark!H30*'P2026 '!$D$1)</f>
        <v>0</v>
      </c>
      <c r="I30" s="84">
        <f>+Referanseark!I30+(Referanseark!I30*'P2026 '!$D$1)</f>
        <v>0</v>
      </c>
      <c r="J30" s="85"/>
      <c r="K30" s="134">
        <f t="shared" si="3"/>
        <v>0</v>
      </c>
      <c r="L30" s="130">
        <f t="shared" si="4"/>
        <v>0</v>
      </c>
    </row>
    <row r="31" spans="1:12" hidden="1" outlineLevel="1" x14ac:dyDescent="0.35">
      <c r="A31" s="37" t="s">
        <v>379</v>
      </c>
      <c r="B31" s="62" t="s">
        <v>380</v>
      </c>
      <c r="C31" s="54" t="s">
        <v>903</v>
      </c>
      <c r="D31" s="84">
        <f>+Referanseark!D31+(Referanseark!D31*'P2026 '!$D$1)</f>
        <v>0</v>
      </c>
      <c r="E31" s="84">
        <f>+Referanseark!E31+(Referanseark!E31*'P2026 '!$D$1)</f>
        <v>0</v>
      </c>
      <c r="F31" s="84">
        <f>+Referanseark!F31+(Referanseark!F31*'P2026 '!$D$1)</f>
        <v>0</v>
      </c>
      <c r="G31" s="84">
        <f>+Referanseark!G31+(Referanseark!G31*'P2026 '!$D$1)</f>
        <v>0</v>
      </c>
      <c r="H31" s="84">
        <f>+Referanseark!H31+(Referanseark!H31*'P2026 '!$D$1)</f>
        <v>0</v>
      </c>
      <c r="I31" s="84">
        <f>+Referanseark!I31+(Referanseark!I31*'P2026 '!$D$1)</f>
        <v>0</v>
      </c>
      <c r="J31" s="85"/>
      <c r="K31" s="134">
        <f t="shared" si="3"/>
        <v>0</v>
      </c>
      <c r="L31" s="130">
        <f t="shared" si="4"/>
        <v>0</v>
      </c>
    </row>
    <row r="32" spans="1:12" hidden="1" outlineLevel="1" x14ac:dyDescent="0.35">
      <c r="A32" s="37" t="s">
        <v>381</v>
      </c>
      <c r="B32" s="62" t="s">
        <v>382</v>
      </c>
      <c r="C32" s="54" t="s">
        <v>903</v>
      </c>
      <c r="D32" s="84">
        <f>+Referanseark!D32+(Referanseark!D32*'P2026 '!$D$1)</f>
        <v>0</v>
      </c>
      <c r="E32" s="84">
        <f>+Referanseark!E32+(Referanseark!E32*'P2026 '!$D$1)</f>
        <v>0</v>
      </c>
      <c r="F32" s="84">
        <f>+Referanseark!F32+(Referanseark!F32*'P2026 '!$D$1)</f>
        <v>0</v>
      </c>
      <c r="G32" s="84">
        <f>+Referanseark!G32+(Referanseark!G32*'P2026 '!$D$1)</f>
        <v>116.2448</v>
      </c>
      <c r="H32" s="84">
        <f>+Referanseark!H32+(Referanseark!H32*'P2026 '!$D$1)</f>
        <v>0</v>
      </c>
      <c r="I32" s="84">
        <f>+Referanseark!I32+(Referanseark!I32*'P2026 '!$D$1)</f>
        <v>0</v>
      </c>
      <c r="J32" s="85"/>
      <c r="K32" s="134">
        <f t="shared" si="3"/>
        <v>0</v>
      </c>
      <c r="L32" s="130">
        <f t="shared" si="4"/>
        <v>116.2448</v>
      </c>
    </row>
    <row r="33" spans="1:12" hidden="1" outlineLevel="1" x14ac:dyDescent="0.35">
      <c r="A33" s="37" t="s">
        <v>383</v>
      </c>
      <c r="B33" s="62" t="s">
        <v>384</v>
      </c>
      <c r="C33" s="54" t="s">
        <v>903</v>
      </c>
      <c r="D33" s="84">
        <f>+Referanseark!D33+(Referanseark!D33*'P2026 '!$D$1)</f>
        <v>45410.433600000004</v>
      </c>
      <c r="E33" s="84">
        <f>+Referanseark!E33+(Referanseark!E33*'P2026 '!$D$1)</f>
        <v>0</v>
      </c>
      <c r="F33" s="84">
        <f>+Referanseark!F33+(Referanseark!F33*'P2026 '!$D$1)</f>
        <v>0</v>
      </c>
      <c r="G33" s="84">
        <f>+Referanseark!G33+(Referanseark!G33*'P2026 '!$D$1)</f>
        <v>0</v>
      </c>
      <c r="H33" s="84">
        <f>+Referanseark!H33+(Referanseark!H33*'P2026 '!$D$1)</f>
        <v>0</v>
      </c>
      <c r="I33" s="84">
        <f>+Referanseark!I33+(Referanseark!I33*'P2026 '!$D$1)</f>
        <v>0</v>
      </c>
      <c r="J33" s="85"/>
      <c r="K33" s="134">
        <f t="shared" si="3"/>
        <v>0</v>
      </c>
      <c r="L33" s="130">
        <f t="shared" si="4"/>
        <v>45410.433600000004</v>
      </c>
    </row>
    <row r="34" spans="1:12" hidden="1" outlineLevel="1" x14ac:dyDescent="0.35">
      <c r="A34" s="37" t="s">
        <v>385</v>
      </c>
      <c r="B34" s="62" t="s">
        <v>386</v>
      </c>
      <c r="C34" s="54" t="s">
        <v>903</v>
      </c>
      <c r="D34" s="84">
        <f>+Referanseark!D34+(Referanseark!D34*'P2026 '!$D$1)</f>
        <v>0</v>
      </c>
      <c r="E34" s="84">
        <f>+Referanseark!E34+(Referanseark!E34*'P2026 '!$D$1)</f>
        <v>0</v>
      </c>
      <c r="F34" s="84">
        <f>+Referanseark!F34+(Referanseark!F34*'P2026 '!$D$1)</f>
        <v>0</v>
      </c>
      <c r="G34" s="84">
        <f>+Referanseark!G34+(Referanseark!G34*'P2026 '!$D$1)</f>
        <v>0</v>
      </c>
      <c r="H34" s="84">
        <f>+Referanseark!H34+(Referanseark!H34*'P2026 '!$D$1)</f>
        <v>0</v>
      </c>
      <c r="I34" s="84">
        <f>+Referanseark!I34+(Referanseark!I34*'P2026 '!$D$1)</f>
        <v>0</v>
      </c>
      <c r="J34" s="85"/>
      <c r="K34" s="134">
        <f t="shared" si="3"/>
        <v>0</v>
      </c>
      <c r="L34" s="130">
        <f t="shared" si="4"/>
        <v>0</v>
      </c>
    </row>
    <row r="35" spans="1:12" hidden="1" outlineLevel="1" x14ac:dyDescent="0.35">
      <c r="A35" s="37">
        <v>3078</v>
      </c>
      <c r="B35" s="62" t="s">
        <v>388</v>
      </c>
      <c r="C35" s="54" t="s">
        <v>903</v>
      </c>
      <c r="D35" s="84">
        <f>+Referanseark!D35+(Referanseark!D35*'P2026 '!$D$1)</f>
        <v>0</v>
      </c>
      <c r="E35" s="84">
        <f>+Referanseark!E35+(Referanseark!E35*'P2026 '!$D$1)</f>
        <v>0</v>
      </c>
      <c r="F35" s="84">
        <f>+Referanseark!F35+(Referanseark!F35*'P2026 '!$D$1)</f>
        <v>0</v>
      </c>
      <c r="G35" s="84">
        <f>+Referanseark!G35+(Referanseark!G35*'P2026 '!$D$1)</f>
        <v>0</v>
      </c>
      <c r="H35" s="84">
        <f>+Referanseark!H35+(Referanseark!H35*'P2026 '!$D$1)</f>
        <v>0</v>
      </c>
      <c r="I35" s="84">
        <f>+Referanseark!I35+(Referanseark!I35*'P2026 '!$D$1)</f>
        <v>0</v>
      </c>
      <c r="J35" s="85"/>
      <c r="K35" s="134">
        <f t="shared" si="3"/>
        <v>0</v>
      </c>
      <c r="L35" s="130">
        <f t="shared" si="4"/>
        <v>0</v>
      </c>
    </row>
    <row r="36" spans="1:12" hidden="1" outlineLevel="1" x14ac:dyDescent="0.35">
      <c r="A36" s="37" t="s">
        <v>389</v>
      </c>
      <c r="B36" s="62" t="s">
        <v>390</v>
      </c>
      <c r="C36" s="54" t="s">
        <v>903</v>
      </c>
      <c r="D36" s="84">
        <f>+Referanseark!D36+(Referanseark!D36*'P2026 '!$D$1)</f>
        <v>0</v>
      </c>
      <c r="E36" s="84">
        <f>+Referanseark!E36+(Referanseark!E36*'P2026 '!$D$1)</f>
        <v>0</v>
      </c>
      <c r="F36" s="84">
        <f>+Referanseark!F36+(Referanseark!F36*'P2026 '!$D$1)</f>
        <v>0</v>
      </c>
      <c r="G36" s="84">
        <f>+Referanseark!G36+(Referanseark!G36*'P2026 '!$D$1)</f>
        <v>0</v>
      </c>
      <c r="H36" s="84">
        <f>+Referanseark!H36+(Referanseark!H36*'P2026 '!$D$1)</f>
        <v>0</v>
      </c>
      <c r="I36" s="84">
        <f>+Referanseark!I36+(Referanseark!I36*'P2026 '!$D$1)</f>
        <v>0</v>
      </c>
      <c r="J36" s="85"/>
      <c r="K36" s="134">
        <f t="shared" si="3"/>
        <v>0</v>
      </c>
      <c r="L36" s="130">
        <f t="shared" si="4"/>
        <v>0</v>
      </c>
    </row>
    <row r="37" spans="1:12" hidden="1" outlineLevel="1" x14ac:dyDescent="0.35">
      <c r="A37" s="37" t="s">
        <v>908</v>
      </c>
      <c r="B37" s="74" t="s">
        <v>909</v>
      </c>
      <c r="C37" s="54" t="s">
        <v>903</v>
      </c>
      <c r="D37" s="84">
        <f>+Referanseark!D37+(Referanseark!D37*'P2026 '!$D$1)</f>
        <v>0</v>
      </c>
      <c r="E37" s="84">
        <f>+Referanseark!E37+(Referanseark!E37*'P2026 '!$D$1)</f>
        <v>0</v>
      </c>
      <c r="F37" s="84">
        <f>+Referanseark!F37+(Referanseark!F37*'P2026 '!$D$1)</f>
        <v>0</v>
      </c>
      <c r="G37" s="84">
        <f>+Referanseark!G37+(Referanseark!G37*'P2026 '!$D$1)</f>
        <v>0</v>
      </c>
      <c r="H37" s="84">
        <f>+Referanseark!H37+(Referanseark!H37*'P2026 '!$D$1)</f>
        <v>0</v>
      </c>
      <c r="I37" s="84">
        <f>+Referanseark!I37+(Referanseark!I37*'P2026 '!$D$1)</f>
        <v>0</v>
      </c>
      <c r="J37" s="85"/>
      <c r="K37" s="134">
        <f t="shared" si="3"/>
        <v>0</v>
      </c>
      <c r="L37" s="130">
        <f t="shared" si="4"/>
        <v>0</v>
      </c>
    </row>
    <row r="38" spans="1:12" hidden="1" outlineLevel="1" x14ac:dyDescent="0.35">
      <c r="A38" s="37" t="s">
        <v>391</v>
      </c>
      <c r="B38" s="62" t="s">
        <v>392</v>
      </c>
      <c r="C38" s="54" t="s">
        <v>903</v>
      </c>
      <c r="D38" s="84">
        <f>+Referanseark!D38+(Referanseark!D38*'P2026 '!$D$1)</f>
        <v>0</v>
      </c>
      <c r="E38" s="84">
        <f>+Referanseark!E38+(Referanseark!E38*'P2026 '!$D$1)</f>
        <v>0</v>
      </c>
      <c r="F38" s="84">
        <f>+Referanseark!F38+(Referanseark!F38*'P2026 '!$D$1)</f>
        <v>0</v>
      </c>
      <c r="G38" s="84">
        <f>+Referanseark!G38+(Referanseark!G38*'P2026 '!$D$1)</f>
        <v>0</v>
      </c>
      <c r="H38" s="84">
        <f>+Referanseark!H38+(Referanseark!H38*'P2026 '!$D$1)</f>
        <v>0</v>
      </c>
      <c r="I38" s="84">
        <f>+Referanseark!I38+(Referanseark!I38*'P2026 '!$D$1)</f>
        <v>0</v>
      </c>
      <c r="J38" s="85"/>
      <c r="K38" s="134">
        <f t="shared" si="3"/>
        <v>0</v>
      </c>
      <c r="L38" s="130">
        <f t="shared" si="4"/>
        <v>0</v>
      </c>
    </row>
    <row r="39" spans="1:12" hidden="1" outlineLevel="1" x14ac:dyDescent="0.35">
      <c r="A39" s="37" t="s">
        <v>393</v>
      </c>
      <c r="B39" s="62" t="s">
        <v>394</v>
      </c>
      <c r="C39" s="54" t="s">
        <v>903</v>
      </c>
      <c r="D39" s="84">
        <f>+Referanseark!D39+(Referanseark!D39*'P2026 '!$D$1)</f>
        <v>0</v>
      </c>
      <c r="E39" s="84">
        <f>+Referanseark!E39+(Referanseark!E39*'P2026 '!$D$1)</f>
        <v>0</v>
      </c>
      <c r="F39" s="84">
        <f>+Referanseark!F39+(Referanseark!F39*'P2026 '!$D$1)</f>
        <v>0</v>
      </c>
      <c r="G39" s="84">
        <f>+Referanseark!G39+(Referanseark!G39*'P2026 '!$D$1)</f>
        <v>38697.567999999999</v>
      </c>
      <c r="H39" s="84">
        <f>+Referanseark!H39+(Referanseark!H39*'P2026 '!$D$1)</f>
        <v>0</v>
      </c>
      <c r="I39" s="84">
        <f>+Referanseark!I39+(Referanseark!I39*'P2026 '!$D$1)</f>
        <v>0</v>
      </c>
      <c r="J39" s="85"/>
      <c r="K39" s="134">
        <f t="shared" si="3"/>
        <v>0</v>
      </c>
      <c r="L39" s="130">
        <f t="shared" si="4"/>
        <v>38697.567999999999</v>
      </c>
    </row>
    <row r="40" spans="1:12" hidden="1" outlineLevel="1" x14ac:dyDescent="0.35">
      <c r="A40" s="37" t="s">
        <v>395</v>
      </c>
      <c r="B40" s="62" t="s">
        <v>396</v>
      </c>
      <c r="C40" s="54" t="s">
        <v>903</v>
      </c>
      <c r="D40" s="84">
        <f>+Referanseark!D40+(Referanseark!D40*'P2026 '!$D$1)</f>
        <v>0</v>
      </c>
      <c r="E40" s="84">
        <f>+Referanseark!E40+(Referanseark!E40*'P2026 '!$D$1)</f>
        <v>0</v>
      </c>
      <c r="F40" s="84">
        <f>+Referanseark!F40+(Referanseark!F40*'P2026 '!$D$1)</f>
        <v>0</v>
      </c>
      <c r="G40" s="84">
        <f>+Referanseark!G40+(Referanseark!G40*'P2026 '!$D$1)</f>
        <v>0</v>
      </c>
      <c r="H40" s="84">
        <f>+Referanseark!H40+(Referanseark!H40*'P2026 '!$D$1)</f>
        <v>0</v>
      </c>
      <c r="I40" s="84">
        <f>+Referanseark!I40+(Referanseark!I40*'P2026 '!$D$1)</f>
        <v>5432</v>
      </c>
      <c r="J40" s="85"/>
      <c r="K40" s="134">
        <f>I40+J40</f>
        <v>5432</v>
      </c>
      <c r="L40" s="130">
        <f t="shared" si="4"/>
        <v>5432</v>
      </c>
    </row>
    <row r="41" spans="1:12" hidden="1" outlineLevel="1" x14ac:dyDescent="0.35">
      <c r="A41" s="37" t="s">
        <v>397</v>
      </c>
      <c r="B41" s="62" t="s">
        <v>398</v>
      </c>
      <c r="C41" s="54" t="s">
        <v>903</v>
      </c>
      <c r="D41" s="84">
        <f>+Referanseark!D41+(Referanseark!D41*'P2026 '!$D$1)</f>
        <v>0</v>
      </c>
      <c r="E41" s="84">
        <f>+Referanseark!E41+(Referanseark!E41*'P2026 '!$D$1)</f>
        <v>0</v>
      </c>
      <c r="F41" s="84">
        <f>+Referanseark!F41+(Referanseark!F41*'P2026 '!$D$1)</f>
        <v>0</v>
      </c>
      <c r="G41" s="84">
        <f>+Referanseark!G41+(Referanseark!G41*'P2026 '!$D$1)</f>
        <v>79.307199999999995</v>
      </c>
      <c r="H41" s="84">
        <f>+Referanseark!H41+(Referanseark!H41*'P2026 '!$D$1)</f>
        <v>0</v>
      </c>
      <c r="I41" s="84">
        <f>+Referanseark!I41+(Referanseark!I41*'P2026 '!$D$1)</f>
        <v>0</v>
      </c>
      <c r="J41" s="85"/>
      <c r="K41" s="134">
        <f t="shared" si="3"/>
        <v>0</v>
      </c>
      <c r="L41" s="130">
        <f t="shared" si="4"/>
        <v>79.307199999999995</v>
      </c>
    </row>
    <row r="42" spans="1:12" hidden="1" outlineLevel="1" x14ac:dyDescent="0.35">
      <c r="A42" s="37" t="s">
        <v>399</v>
      </c>
      <c r="B42" s="62" t="s">
        <v>400</v>
      </c>
      <c r="C42" s="54" t="s">
        <v>903</v>
      </c>
      <c r="D42" s="84">
        <f>+Referanseark!D42+(Referanseark!D42*'P2026 '!$D$1)</f>
        <v>0</v>
      </c>
      <c r="E42" s="84">
        <f>+Referanseark!E42+(Referanseark!E42*'P2026 '!$D$1)</f>
        <v>0</v>
      </c>
      <c r="F42" s="84">
        <f>+Referanseark!F42+(Referanseark!F42*'P2026 '!$D$1)</f>
        <v>0</v>
      </c>
      <c r="G42" s="84">
        <f>+Referanseark!G42+(Referanseark!G42*'P2026 '!$D$1)</f>
        <v>0</v>
      </c>
      <c r="H42" s="84">
        <f>+Referanseark!H42+(Referanseark!H42*'P2026 '!$D$1)</f>
        <v>0</v>
      </c>
      <c r="I42" s="84">
        <f>+Referanseark!I42+(Referanseark!I42*'P2026 '!$D$1)</f>
        <v>0</v>
      </c>
      <c r="J42" s="85"/>
      <c r="K42" s="134">
        <f t="shared" si="3"/>
        <v>0</v>
      </c>
      <c r="L42" s="130">
        <f t="shared" si="4"/>
        <v>0</v>
      </c>
    </row>
    <row r="43" spans="1:12" hidden="1" outlineLevel="1" x14ac:dyDescent="0.35">
      <c r="A43" s="37" t="s">
        <v>401</v>
      </c>
      <c r="B43" s="62" t="s">
        <v>402</v>
      </c>
      <c r="C43" s="54" t="s">
        <v>903</v>
      </c>
      <c r="D43" s="84">
        <f>+Referanseark!D43+(Referanseark!D43*'P2026 '!$D$1)</f>
        <v>0</v>
      </c>
      <c r="E43" s="84">
        <f>+Referanseark!E43+(Referanseark!E43*'P2026 '!$D$1)</f>
        <v>0</v>
      </c>
      <c r="F43" s="84">
        <f>+Referanseark!F43+(Referanseark!F43*'P2026 '!$D$1)</f>
        <v>0</v>
      </c>
      <c r="G43" s="84">
        <f>+Referanseark!G43+(Referanseark!G43*'P2026 '!$D$1)</f>
        <v>593.17439999999999</v>
      </c>
      <c r="H43" s="84">
        <f>+Referanseark!H43+(Referanseark!H43*'P2026 '!$D$1)</f>
        <v>0</v>
      </c>
      <c r="I43" s="84">
        <f>+Referanseark!I43+(Referanseark!I43*'P2026 '!$D$1)</f>
        <v>0</v>
      </c>
      <c r="J43" s="85"/>
      <c r="K43" s="134">
        <f t="shared" si="3"/>
        <v>0</v>
      </c>
      <c r="L43" s="130">
        <f t="shared" si="4"/>
        <v>593.17439999999999</v>
      </c>
    </row>
    <row r="44" spans="1:12" hidden="1" outlineLevel="1" x14ac:dyDescent="0.35">
      <c r="A44" s="37" t="s">
        <v>403</v>
      </c>
      <c r="B44" s="62" t="s">
        <v>404</v>
      </c>
      <c r="C44" s="54" t="s">
        <v>903</v>
      </c>
      <c r="D44" s="84">
        <f>+Referanseark!D44+(Referanseark!D44*'P2026 '!$D$1)</f>
        <v>0</v>
      </c>
      <c r="E44" s="84">
        <f>+Referanseark!E44+(Referanseark!E44*'P2026 '!$D$1)</f>
        <v>0</v>
      </c>
      <c r="F44" s="84">
        <f>+Referanseark!F44+(Referanseark!F44*'P2026 '!$D$1)</f>
        <v>0</v>
      </c>
      <c r="G44" s="84">
        <f>+Referanseark!G44+(Referanseark!G44*'P2026 '!$D$1)</f>
        <v>0</v>
      </c>
      <c r="H44" s="84">
        <f>+Referanseark!H44+(Referanseark!H44*'P2026 '!$D$1)</f>
        <v>0</v>
      </c>
      <c r="I44" s="84">
        <f>+Referanseark!I44+(Referanseark!I44*'P2026 '!$D$1)</f>
        <v>0</v>
      </c>
      <c r="J44" s="85"/>
      <c r="K44" s="134">
        <f t="shared" si="3"/>
        <v>0</v>
      </c>
      <c r="L44" s="130">
        <f t="shared" si="4"/>
        <v>0</v>
      </c>
    </row>
    <row r="45" spans="1:12" hidden="1" outlineLevel="1" x14ac:dyDescent="0.35">
      <c r="A45" s="37" t="s">
        <v>405</v>
      </c>
      <c r="B45" s="62" t="s">
        <v>406</v>
      </c>
      <c r="C45" s="54" t="s">
        <v>903</v>
      </c>
      <c r="D45" s="84">
        <f>+Referanseark!D45+(Referanseark!D45*'P2026 '!$D$1)</f>
        <v>0</v>
      </c>
      <c r="E45" s="84">
        <f>+Referanseark!E45+(Referanseark!E45*'P2026 '!$D$1)</f>
        <v>0</v>
      </c>
      <c r="F45" s="84">
        <f>+Referanseark!F45+(Referanseark!F45*'P2026 '!$D$1)</f>
        <v>101110.16160000001</v>
      </c>
      <c r="G45" s="84">
        <f>+Referanseark!G45+(Referanseark!G45*'P2026 '!$D$1)</f>
        <v>0</v>
      </c>
      <c r="H45" s="84">
        <f>+Referanseark!H45+(Referanseark!H45*'P2026 '!$D$1)</f>
        <v>0</v>
      </c>
      <c r="I45" s="84">
        <f>+Referanseark!I45+(Referanseark!I45*'P2026 '!$D$1)</f>
        <v>0</v>
      </c>
      <c r="J45" s="85"/>
      <c r="K45" s="134">
        <f t="shared" si="3"/>
        <v>0</v>
      </c>
      <c r="L45" s="130">
        <f t="shared" si="4"/>
        <v>101110.16160000001</v>
      </c>
    </row>
    <row r="46" spans="1:12" hidden="1" outlineLevel="1" x14ac:dyDescent="0.35">
      <c r="A46" s="37" t="s">
        <v>407</v>
      </c>
      <c r="B46" s="62" t="s">
        <v>408</v>
      </c>
      <c r="C46" s="54" t="s">
        <v>903</v>
      </c>
      <c r="D46" s="84">
        <f>+Referanseark!D46+(Referanseark!D46*'P2026 '!$D$1)</f>
        <v>0</v>
      </c>
      <c r="E46" s="84">
        <f>+Referanseark!E46+(Referanseark!E46*'P2026 '!$D$1)</f>
        <v>0</v>
      </c>
      <c r="F46" s="84">
        <f>+Referanseark!F46+(Referanseark!F46*'P2026 '!$D$1)</f>
        <v>119439.90240000001</v>
      </c>
      <c r="G46" s="84">
        <f>+Referanseark!G46+(Referanseark!G46*'P2026 '!$D$1)</f>
        <v>0</v>
      </c>
      <c r="H46" s="84">
        <f>+Referanseark!H46+(Referanseark!H46*'P2026 '!$D$1)</f>
        <v>315645.91519999999</v>
      </c>
      <c r="I46" s="84">
        <f>+Referanseark!I46+(Referanseark!I46*'P2026 '!$D$1)</f>
        <v>69413.355200000005</v>
      </c>
      <c r="J46" s="85"/>
      <c r="K46" s="134">
        <f t="shared" si="3"/>
        <v>69413.355200000005</v>
      </c>
      <c r="L46" s="130">
        <f t="shared" si="4"/>
        <v>504499.1728</v>
      </c>
    </row>
    <row r="47" spans="1:12" hidden="1" outlineLevel="1" x14ac:dyDescent="0.35">
      <c r="A47" s="37" t="s">
        <v>409</v>
      </c>
      <c r="B47" s="62" t="s">
        <v>410</v>
      </c>
      <c r="C47" s="54" t="s">
        <v>903</v>
      </c>
      <c r="D47" s="84">
        <f>+Referanseark!D47+(Referanseark!D47*'P2026 '!$D$1)</f>
        <v>0</v>
      </c>
      <c r="E47" s="84">
        <f>+Referanseark!E47+(Referanseark!E47*'P2026 '!$D$1)</f>
        <v>0</v>
      </c>
      <c r="F47" s="84">
        <f>+Referanseark!F47+(Referanseark!F47*'P2026 '!$D$1)</f>
        <v>0</v>
      </c>
      <c r="G47" s="84">
        <f>+Referanseark!G47+(Referanseark!G47*'P2026 '!$D$1)</f>
        <v>0</v>
      </c>
      <c r="H47" s="84">
        <f>+Referanseark!H47+(Referanseark!H47*'P2026 '!$D$1)</f>
        <v>0</v>
      </c>
      <c r="I47" s="84">
        <f>+Referanseark!I47+(Referanseark!I47*'P2026 '!$D$1)</f>
        <v>0</v>
      </c>
      <c r="J47" s="85"/>
      <c r="K47" s="134">
        <f t="shared" si="3"/>
        <v>0</v>
      </c>
      <c r="L47" s="130">
        <f t="shared" si="4"/>
        <v>0</v>
      </c>
    </row>
    <row r="48" spans="1:12" hidden="1" outlineLevel="1" x14ac:dyDescent="0.35">
      <c r="A48" s="37" t="s">
        <v>411</v>
      </c>
      <c r="B48" s="62" t="s">
        <v>412</v>
      </c>
      <c r="C48" s="54" t="s">
        <v>903</v>
      </c>
      <c r="D48" s="84">
        <f>+Referanseark!D48+(Referanseark!D48*'P2026 '!$D$1)</f>
        <v>0</v>
      </c>
      <c r="E48" s="84">
        <f>+Referanseark!E48+(Referanseark!E48*'P2026 '!$D$1)</f>
        <v>822.40480000000002</v>
      </c>
      <c r="F48" s="84">
        <f>+Referanseark!F48+(Referanseark!F48*'P2026 '!$D$1)</f>
        <v>0</v>
      </c>
      <c r="G48" s="84">
        <f>+Referanseark!G48+(Referanseark!G48*'P2026 '!$D$1)</f>
        <v>23293.502400000001</v>
      </c>
      <c r="H48" s="84">
        <f>+Referanseark!H48+(Referanseark!H48*'P2026 '!$D$1)</f>
        <v>0</v>
      </c>
      <c r="I48" s="84">
        <f>+Referanseark!I48+(Referanseark!I48*'P2026 '!$D$1)</f>
        <v>0</v>
      </c>
      <c r="J48" s="85"/>
      <c r="K48" s="134">
        <f t="shared" si="3"/>
        <v>0</v>
      </c>
      <c r="L48" s="130">
        <f t="shared" si="4"/>
        <v>24115.907200000001</v>
      </c>
    </row>
    <row r="49" spans="1:12" hidden="1" outlineLevel="1" x14ac:dyDescent="0.35">
      <c r="A49" s="37" t="s">
        <v>413</v>
      </c>
      <c r="B49" s="62" t="s">
        <v>414</v>
      </c>
      <c r="C49" s="54" t="s">
        <v>903</v>
      </c>
      <c r="D49" s="84">
        <f>+Referanseark!D49+(Referanseark!D49*'P2026 '!$D$1)</f>
        <v>0</v>
      </c>
      <c r="E49" s="84">
        <f>+Referanseark!E49+(Referanseark!E49*'P2026 '!$D$1)</f>
        <v>179270.1232</v>
      </c>
      <c r="F49" s="84">
        <f>+Referanseark!F49+(Referanseark!F49*'P2026 '!$D$1)</f>
        <v>166561.416</v>
      </c>
      <c r="G49" s="84">
        <f>+Referanseark!G49+(Referanseark!G49*'P2026 '!$D$1)</f>
        <v>531937.29119999998</v>
      </c>
      <c r="H49" s="84">
        <f>+Referanseark!H49+(Referanseark!H49*'P2026 '!$D$1)</f>
        <v>0</v>
      </c>
      <c r="I49" s="84">
        <f>+Referanseark!I49+(Referanseark!I49*'P2026 '!$D$1)</f>
        <v>107210.29760000001</v>
      </c>
      <c r="J49" s="85"/>
      <c r="K49" s="134">
        <f t="shared" si="3"/>
        <v>107210.29760000001</v>
      </c>
      <c r="L49" s="130">
        <f t="shared" si="4"/>
        <v>984979.12800000003</v>
      </c>
    </row>
    <row r="50" spans="1:12" hidden="1" outlineLevel="1" x14ac:dyDescent="0.35">
      <c r="A50" s="37" t="s">
        <v>415</v>
      </c>
      <c r="B50" s="62" t="s">
        <v>416</v>
      </c>
      <c r="C50" s="54" t="s">
        <v>903</v>
      </c>
      <c r="D50" s="84">
        <f>+Referanseark!D50+(Referanseark!D50*'P2026 '!$D$1)</f>
        <v>0</v>
      </c>
      <c r="E50" s="84">
        <f>+Referanseark!E50+(Referanseark!E50*'P2026 '!$D$1)</f>
        <v>36684.468800000002</v>
      </c>
      <c r="F50" s="84">
        <f>+Referanseark!F50+(Referanseark!F50*'P2026 '!$D$1)</f>
        <v>132679.85920000001</v>
      </c>
      <c r="G50" s="84">
        <f>+Referanseark!G50+(Referanseark!G50*'P2026 '!$D$1)</f>
        <v>32592</v>
      </c>
      <c r="H50" s="84">
        <f>+Referanseark!H50+(Referanseark!H50*'P2026 '!$D$1)</f>
        <v>0</v>
      </c>
      <c r="I50" s="84">
        <f>+Referanseark!I50+(Referanseark!I50*'P2026 '!$D$1)</f>
        <v>39013.710400000004</v>
      </c>
      <c r="J50" s="85"/>
      <c r="K50" s="134">
        <f t="shared" si="3"/>
        <v>39013.710400000004</v>
      </c>
      <c r="L50" s="130">
        <f t="shared" si="4"/>
        <v>240970.03840000002</v>
      </c>
    </row>
    <row r="51" spans="1:12" hidden="1" outlineLevel="1" x14ac:dyDescent="0.35">
      <c r="A51" s="37" t="s">
        <v>417</v>
      </c>
      <c r="B51" s="62" t="s">
        <v>418</v>
      </c>
      <c r="C51" s="54" t="s">
        <v>903</v>
      </c>
      <c r="D51" s="84">
        <f>+Referanseark!D51+(Referanseark!D51*'P2026 '!$D$1)</f>
        <v>0</v>
      </c>
      <c r="E51" s="84">
        <f>+Referanseark!E51+(Referanseark!E51*'P2026 '!$D$1)</f>
        <v>0</v>
      </c>
      <c r="F51" s="84">
        <f>+Referanseark!F51+(Referanseark!F51*'P2026 '!$D$1)</f>
        <v>0</v>
      </c>
      <c r="G51" s="84">
        <f>+Referanseark!G51+(Referanseark!G51*'P2026 '!$D$1)</f>
        <v>0</v>
      </c>
      <c r="H51" s="84">
        <f>+Referanseark!H51+(Referanseark!H51*'P2026 '!$D$1)</f>
        <v>0</v>
      </c>
      <c r="I51" s="84">
        <f>+Referanseark!I51+(Referanseark!I51*'P2026 '!$D$1)</f>
        <v>0</v>
      </c>
      <c r="J51" s="85"/>
      <c r="K51" s="134">
        <f t="shared" si="3"/>
        <v>0</v>
      </c>
      <c r="L51" s="130">
        <f t="shared" si="4"/>
        <v>0</v>
      </c>
    </row>
    <row r="52" spans="1:12" hidden="1" outlineLevel="1" x14ac:dyDescent="0.35">
      <c r="A52" s="37" t="s">
        <v>419</v>
      </c>
      <c r="B52" s="62" t="s">
        <v>420</v>
      </c>
      <c r="C52" s="54" t="s">
        <v>903</v>
      </c>
      <c r="D52" s="84">
        <f>+Referanseark!D52+(Referanseark!D52*'P2026 '!$D$1)</f>
        <v>0</v>
      </c>
      <c r="E52" s="84">
        <f>+Referanseark!E52+(Referanseark!E52*'P2026 '!$D$1)</f>
        <v>0</v>
      </c>
      <c r="F52" s="84">
        <f>+Referanseark!F52+(Referanseark!F52*'P2026 '!$D$1)</f>
        <v>0</v>
      </c>
      <c r="G52" s="84">
        <f>+Referanseark!G52+(Referanseark!G52*'P2026 '!$D$1)</f>
        <v>31317.6528</v>
      </c>
      <c r="H52" s="84">
        <f>+Referanseark!H52+(Referanseark!H52*'P2026 '!$D$1)</f>
        <v>0</v>
      </c>
      <c r="I52" s="84">
        <f>+Referanseark!I52+(Referanseark!I52*'P2026 '!$D$1)</f>
        <v>0</v>
      </c>
      <c r="J52" s="85"/>
      <c r="K52" s="134">
        <f t="shared" si="3"/>
        <v>0</v>
      </c>
      <c r="L52" s="130">
        <f t="shared" si="4"/>
        <v>31317.6528</v>
      </c>
    </row>
    <row r="53" spans="1:12" hidden="1" outlineLevel="1" x14ac:dyDescent="0.35">
      <c r="A53" s="37" t="s">
        <v>912</v>
      </c>
      <c r="B53" s="62" t="s">
        <v>913</v>
      </c>
      <c r="C53" s="54" t="s">
        <v>903</v>
      </c>
      <c r="D53" s="84">
        <f>+Referanseark!D53+(Referanseark!D53*'P2026 '!$D$1)</f>
        <v>0</v>
      </c>
      <c r="E53" s="84">
        <f>+Referanseark!E53+(Referanseark!E53*'P2026 '!$D$1)</f>
        <v>0</v>
      </c>
      <c r="F53" s="84">
        <f>+Referanseark!F53+(Referanseark!F53*'P2026 '!$D$1)</f>
        <v>0</v>
      </c>
      <c r="G53" s="84">
        <f>+Referanseark!G53+(Referanseark!G53*'P2026 '!$D$1)</f>
        <v>0</v>
      </c>
      <c r="H53" s="84">
        <f>+Referanseark!H53+(Referanseark!H53*'P2026 '!$D$1)</f>
        <v>0</v>
      </c>
      <c r="I53" s="84">
        <f>+Referanseark!I53+(Referanseark!I53*'P2026 '!$D$1)</f>
        <v>22488.48</v>
      </c>
      <c r="J53" s="85"/>
      <c r="K53" s="134">
        <f t="shared" si="3"/>
        <v>22488.48</v>
      </c>
      <c r="L53" s="130">
        <f t="shared" si="4"/>
        <v>22488.48</v>
      </c>
    </row>
    <row r="54" spans="1:12" hidden="1" outlineLevel="1" x14ac:dyDescent="0.35">
      <c r="A54" s="37" t="s">
        <v>421</v>
      </c>
      <c r="B54" s="62" t="s">
        <v>422</v>
      </c>
      <c r="C54" s="54" t="s">
        <v>903</v>
      </c>
      <c r="D54" s="84">
        <f>+Referanseark!D54+(Referanseark!D54*'P2026 '!$D$1)</f>
        <v>0</v>
      </c>
      <c r="E54" s="84">
        <f>+Referanseark!E54+(Referanseark!E54*'P2026 '!$D$1)</f>
        <v>0</v>
      </c>
      <c r="F54" s="84">
        <f>+Referanseark!F54+(Referanseark!F54*'P2026 '!$D$1)</f>
        <v>0</v>
      </c>
      <c r="G54" s="84">
        <f>+Referanseark!G54+(Referanseark!G54*'P2026 '!$D$1)</f>
        <v>0</v>
      </c>
      <c r="H54" s="84">
        <f>+Referanseark!H54+(Referanseark!H54*'P2026 '!$D$1)</f>
        <v>0</v>
      </c>
      <c r="I54" s="84">
        <f>+Referanseark!I54+(Referanseark!I54*'P2026 '!$D$1)</f>
        <v>0</v>
      </c>
      <c r="J54" s="85"/>
      <c r="K54" s="134">
        <f t="shared" si="3"/>
        <v>0</v>
      </c>
      <c r="L54" s="130">
        <f t="shared" si="4"/>
        <v>0</v>
      </c>
    </row>
    <row r="55" spans="1:12" hidden="1" outlineLevel="1" x14ac:dyDescent="0.35">
      <c r="A55" s="37" t="s">
        <v>423</v>
      </c>
      <c r="B55" s="74" t="s">
        <v>424</v>
      </c>
      <c r="C55" s="54" t="s">
        <v>903</v>
      </c>
      <c r="D55" s="84">
        <f>+Referanseark!D55+(Referanseark!D55*'P2026 '!$D$1)</f>
        <v>0</v>
      </c>
      <c r="E55" s="84">
        <f>+Referanseark!E55+(Referanseark!E55*'P2026 '!$D$1)</f>
        <v>176462.86559999999</v>
      </c>
      <c r="F55" s="84">
        <f>+Referanseark!F55+(Referanseark!F55*'P2026 '!$D$1)</f>
        <v>0</v>
      </c>
      <c r="G55" s="84">
        <f>+Referanseark!G55+(Referanseark!G55*'P2026 '!$D$1)</f>
        <v>0</v>
      </c>
      <c r="H55" s="84">
        <f>+Referanseark!H55+(Referanseark!H55*'P2026 '!$D$1)</f>
        <v>0</v>
      </c>
      <c r="I55" s="84">
        <f>+Referanseark!I55+(Referanseark!I55*'P2026 '!$D$1)</f>
        <v>0</v>
      </c>
      <c r="J55" s="85"/>
      <c r="K55" s="134">
        <f t="shared" si="3"/>
        <v>0</v>
      </c>
      <c r="L55" s="130">
        <f t="shared" si="4"/>
        <v>176462.86559999999</v>
      </c>
    </row>
    <row r="56" spans="1:12" hidden="1" outlineLevel="1" x14ac:dyDescent="0.35">
      <c r="A56" s="37" t="s">
        <v>425</v>
      </c>
      <c r="B56" s="74" t="s">
        <v>426</v>
      </c>
      <c r="C56" s="54" t="s">
        <v>903</v>
      </c>
      <c r="D56" s="84">
        <f>+Referanseark!D56+(Referanseark!D56*'P2026 '!$D$1)</f>
        <v>0</v>
      </c>
      <c r="E56" s="84">
        <f>+Referanseark!E56+(Referanseark!E56*'P2026 '!$D$1)</f>
        <v>0</v>
      </c>
      <c r="F56" s="84">
        <f>+Referanseark!F56+(Referanseark!F56*'P2026 '!$D$1)</f>
        <v>4689.9888000000001</v>
      </c>
      <c r="G56" s="84">
        <f>+Referanseark!G56+(Referanseark!G56*'P2026 '!$D$1)</f>
        <v>0</v>
      </c>
      <c r="H56" s="84">
        <f>+Referanseark!H56+(Referanseark!H56*'P2026 '!$D$1)</f>
        <v>0</v>
      </c>
      <c r="I56" s="84">
        <f>+Referanseark!I56+(Referanseark!I56*'P2026 '!$D$1)</f>
        <v>0</v>
      </c>
      <c r="J56" s="85"/>
      <c r="K56" s="134">
        <f t="shared" si="3"/>
        <v>0</v>
      </c>
      <c r="L56" s="130">
        <f t="shared" si="4"/>
        <v>4689.9888000000001</v>
      </c>
    </row>
    <row r="57" spans="1:12" hidden="1" outlineLevel="1" x14ac:dyDescent="0.35">
      <c r="A57" s="37" t="s">
        <v>427</v>
      </c>
      <c r="B57" s="62" t="s">
        <v>428</v>
      </c>
      <c r="C57" s="54" t="s">
        <v>903</v>
      </c>
      <c r="D57" s="84">
        <f>+Referanseark!D57+(Referanseark!D57*'P2026 '!$D$1)</f>
        <v>0</v>
      </c>
      <c r="E57" s="84">
        <f>+Referanseark!E57+(Referanseark!E57*'P2026 '!$D$1)</f>
        <v>0</v>
      </c>
      <c r="F57" s="84">
        <f>+Referanseark!F57+(Referanseark!F57*'P2026 '!$D$1)</f>
        <v>17178.156800000001</v>
      </c>
      <c r="G57" s="84">
        <f>+Referanseark!G57+(Referanseark!G57*'P2026 '!$D$1)</f>
        <v>0</v>
      </c>
      <c r="H57" s="84">
        <f>+Referanseark!H57+(Referanseark!H57*'P2026 '!$D$1)</f>
        <v>0</v>
      </c>
      <c r="I57" s="84">
        <f>+Referanseark!I57+(Referanseark!I57*'P2026 '!$D$1)</f>
        <v>0</v>
      </c>
      <c r="J57" s="85"/>
      <c r="K57" s="134">
        <f t="shared" si="3"/>
        <v>0</v>
      </c>
      <c r="L57" s="130">
        <f t="shared" si="4"/>
        <v>17178.156800000001</v>
      </c>
    </row>
    <row r="58" spans="1:12" hidden="1" outlineLevel="1" x14ac:dyDescent="0.35">
      <c r="A58" s="37" t="s">
        <v>429</v>
      </c>
      <c r="B58" s="62" t="s">
        <v>430</v>
      </c>
      <c r="C58" s="54" t="s">
        <v>903</v>
      </c>
      <c r="D58" s="84">
        <f>+Referanseark!D58+(Referanseark!D58*'P2026 '!$D$1)</f>
        <v>0</v>
      </c>
      <c r="E58" s="84">
        <f>+Referanseark!E58+(Referanseark!E58*'P2026 '!$D$1)</f>
        <v>166.2192</v>
      </c>
      <c r="F58" s="84">
        <f>+Referanseark!F58+(Referanseark!F58*'P2026 '!$D$1)</f>
        <v>0</v>
      </c>
      <c r="G58" s="84">
        <f>+Referanseark!G58+(Referanseark!G58*'P2026 '!$D$1)</f>
        <v>0</v>
      </c>
      <c r="H58" s="84">
        <f>+Referanseark!H58+(Referanseark!H58*'P2026 '!$D$1)</f>
        <v>139055.94080000001</v>
      </c>
      <c r="I58" s="84">
        <f>+Referanseark!I58+(Referanseark!I58*'P2026 '!$D$1)</f>
        <v>0</v>
      </c>
      <c r="J58" s="85"/>
      <c r="K58" s="134">
        <f t="shared" si="3"/>
        <v>0</v>
      </c>
      <c r="L58" s="130">
        <f t="shared" si="4"/>
        <v>139222.16</v>
      </c>
    </row>
    <row r="59" spans="1:12" hidden="1" outlineLevel="1" x14ac:dyDescent="0.35">
      <c r="A59" s="37" t="s">
        <v>431</v>
      </c>
      <c r="B59" s="62" t="s">
        <v>432</v>
      </c>
      <c r="C59" s="54" t="s">
        <v>903</v>
      </c>
      <c r="D59" s="84">
        <f>+Referanseark!D59+(Referanseark!D59*'P2026 '!$D$1)</f>
        <v>0</v>
      </c>
      <c r="E59" s="84">
        <f>+Referanseark!E59+(Referanseark!E59*'P2026 '!$D$1)</f>
        <v>0</v>
      </c>
      <c r="F59" s="84">
        <f>+Referanseark!F59+(Referanseark!F59*'P2026 '!$D$1)</f>
        <v>0</v>
      </c>
      <c r="G59" s="84">
        <f>+Referanseark!G59+(Referanseark!G59*'P2026 '!$D$1)</f>
        <v>0</v>
      </c>
      <c r="H59" s="84">
        <f>+Referanseark!H59+(Referanseark!H59*'P2026 '!$D$1)</f>
        <v>0</v>
      </c>
      <c r="I59" s="84">
        <f>+Referanseark!I59+(Referanseark!I59*'P2026 '!$D$1)</f>
        <v>0</v>
      </c>
      <c r="J59" s="85"/>
      <c r="K59" s="134">
        <f t="shared" si="3"/>
        <v>0</v>
      </c>
      <c r="L59" s="130">
        <f t="shared" si="4"/>
        <v>0</v>
      </c>
    </row>
    <row r="60" spans="1:12" hidden="1" outlineLevel="1" x14ac:dyDescent="0.35">
      <c r="A60" s="37" t="s">
        <v>433</v>
      </c>
      <c r="B60" s="62" t="s">
        <v>434</v>
      </c>
      <c r="C60" s="54" t="s">
        <v>903</v>
      </c>
      <c r="D60" s="84">
        <f>+Referanseark!D60+(Referanseark!D60*'P2026 '!$D$1)</f>
        <v>0</v>
      </c>
      <c r="E60" s="84">
        <f>+Referanseark!E60+(Referanseark!E60*'P2026 '!$D$1)</f>
        <v>0</v>
      </c>
      <c r="F60" s="84">
        <f>+Referanseark!F60+(Referanseark!F60*'P2026 '!$D$1)</f>
        <v>0</v>
      </c>
      <c r="G60" s="84">
        <f>+Referanseark!G60+(Referanseark!G60*'P2026 '!$D$1)</f>
        <v>0</v>
      </c>
      <c r="H60" s="84">
        <f>+Referanseark!H60+(Referanseark!H60*'P2026 '!$D$1)</f>
        <v>0</v>
      </c>
      <c r="I60" s="84">
        <f>+Referanseark!I60+(Referanseark!I60*'P2026 '!$D$1)</f>
        <v>0</v>
      </c>
      <c r="J60" s="85"/>
      <c r="K60" s="134">
        <f t="shared" si="3"/>
        <v>0</v>
      </c>
      <c r="L60" s="130">
        <f t="shared" si="4"/>
        <v>0</v>
      </c>
    </row>
    <row r="61" spans="1:12" hidden="1" outlineLevel="1" x14ac:dyDescent="0.35">
      <c r="A61" s="37" t="s">
        <v>435</v>
      </c>
      <c r="B61" s="62" t="s">
        <v>436</v>
      </c>
      <c r="C61" s="54" t="s">
        <v>903</v>
      </c>
      <c r="D61" s="84">
        <f>+Referanseark!D61+(Referanseark!D61*'P2026 '!$D$1)</f>
        <v>0</v>
      </c>
      <c r="E61" s="84">
        <f>+Referanseark!E61+(Referanseark!E61*'P2026 '!$D$1)</f>
        <v>0</v>
      </c>
      <c r="F61" s="84">
        <f>+Referanseark!F61+(Referanseark!F61*'P2026 '!$D$1)</f>
        <v>0</v>
      </c>
      <c r="G61" s="84">
        <f>+Referanseark!G61+(Referanseark!G61*'P2026 '!$D$1)</f>
        <v>0</v>
      </c>
      <c r="H61" s="84">
        <f>+Referanseark!H61+(Referanseark!H61*'P2026 '!$D$1)</f>
        <v>0</v>
      </c>
      <c r="I61" s="84">
        <f>+Referanseark!I61+(Referanseark!I61*'P2026 '!$D$1)</f>
        <v>0</v>
      </c>
      <c r="J61" s="85"/>
      <c r="K61" s="134">
        <f t="shared" si="3"/>
        <v>0</v>
      </c>
      <c r="L61" s="130">
        <f t="shared" si="4"/>
        <v>0</v>
      </c>
    </row>
    <row r="62" spans="1:12" hidden="1" outlineLevel="1" x14ac:dyDescent="0.35">
      <c r="A62" s="37" t="s">
        <v>437</v>
      </c>
      <c r="B62" s="62" t="s">
        <v>438</v>
      </c>
      <c r="C62" s="54" t="s">
        <v>903</v>
      </c>
      <c r="D62" s="84">
        <f>+Referanseark!D62+(Referanseark!D62*'P2026 '!$D$1)</f>
        <v>0</v>
      </c>
      <c r="E62" s="84">
        <f>+Referanseark!E62+(Referanseark!E62*'P2026 '!$D$1)</f>
        <v>0</v>
      </c>
      <c r="F62" s="84">
        <f>+Referanseark!F62+(Referanseark!F62*'P2026 '!$D$1)</f>
        <v>0</v>
      </c>
      <c r="G62" s="84">
        <f>+Referanseark!G62+(Referanseark!G62*'P2026 '!$D$1)</f>
        <v>0</v>
      </c>
      <c r="H62" s="84">
        <f>+Referanseark!H62+(Referanseark!H62*'P2026 '!$D$1)</f>
        <v>0</v>
      </c>
      <c r="I62" s="84">
        <f>+Referanseark!I62+(Referanseark!I62*'P2026 '!$D$1)</f>
        <v>0</v>
      </c>
      <c r="J62" s="85"/>
      <c r="K62" s="134">
        <f t="shared" si="3"/>
        <v>0</v>
      </c>
      <c r="L62" s="130">
        <f t="shared" si="4"/>
        <v>0</v>
      </c>
    </row>
    <row r="63" spans="1:12" hidden="1" outlineLevel="1" x14ac:dyDescent="0.35">
      <c r="A63" s="37" t="s">
        <v>439</v>
      </c>
      <c r="B63" s="62" t="s">
        <v>440</v>
      </c>
      <c r="C63" s="54" t="s">
        <v>903</v>
      </c>
      <c r="D63" s="84">
        <f>+Referanseark!D63+(Referanseark!D63*'P2026 '!$D$1)</f>
        <v>0</v>
      </c>
      <c r="E63" s="84">
        <f>+Referanseark!E63+(Referanseark!E63*'P2026 '!$D$1)</f>
        <v>0</v>
      </c>
      <c r="F63" s="84">
        <f>+Referanseark!F63+(Referanseark!F63*'P2026 '!$D$1)</f>
        <v>0</v>
      </c>
      <c r="G63" s="84">
        <f>+Referanseark!G63+(Referanseark!G63*'P2026 '!$D$1)</f>
        <v>0</v>
      </c>
      <c r="H63" s="84">
        <f>+Referanseark!H63+(Referanseark!H63*'P2026 '!$D$1)</f>
        <v>0</v>
      </c>
      <c r="I63" s="84">
        <f>+Referanseark!I63+(Referanseark!I63*'P2026 '!$D$1)</f>
        <v>0</v>
      </c>
      <c r="J63" s="85"/>
      <c r="K63" s="134">
        <f t="shared" si="3"/>
        <v>0</v>
      </c>
      <c r="L63" s="130">
        <f t="shared" si="4"/>
        <v>0</v>
      </c>
    </row>
    <row r="64" spans="1:12" hidden="1" outlineLevel="1" x14ac:dyDescent="0.35">
      <c r="A64" s="37" t="s">
        <v>441</v>
      </c>
      <c r="B64" s="62" t="s">
        <v>442</v>
      </c>
      <c r="C64" s="54" t="s">
        <v>903</v>
      </c>
      <c r="D64" s="84">
        <f>+Referanseark!D64+(Referanseark!D64*'P2026 '!$D$1)</f>
        <v>0</v>
      </c>
      <c r="E64" s="84">
        <f>+Referanseark!E64+(Referanseark!E64*'P2026 '!$D$1)</f>
        <v>0</v>
      </c>
      <c r="F64" s="84">
        <f>+Referanseark!F64+(Referanseark!F64*'P2026 '!$D$1)</f>
        <v>0</v>
      </c>
      <c r="G64" s="84">
        <f>+Referanseark!G64+(Referanseark!G64*'P2026 '!$D$1)</f>
        <v>29248.060799999999</v>
      </c>
      <c r="H64" s="84">
        <f>+Referanseark!H64+(Referanseark!H64*'P2026 '!$D$1)</f>
        <v>73479.750400000004</v>
      </c>
      <c r="I64" s="84">
        <f>+Referanseark!I64+(Referanseark!I64*'P2026 '!$D$1)</f>
        <v>0</v>
      </c>
      <c r="J64" s="85"/>
      <c r="K64" s="134">
        <f t="shared" si="3"/>
        <v>0</v>
      </c>
      <c r="L64" s="130">
        <f t="shared" si="4"/>
        <v>102727.8112</v>
      </c>
    </row>
    <row r="65" spans="1:12" hidden="1" outlineLevel="1" x14ac:dyDescent="0.35">
      <c r="A65" s="37" t="s">
        <v>464</v>
      </c>
      <c r="B65" s="62" t="s">
        <v>465</v>
      </c>
      <c r="C65" s="54" t="s">
        <v>903</v>
      </c>
      <c r="D65" s="84">
        <f>+Referanseark!D65+(Referanseark!D65*'P2026 '!$D$1)</f>
        <v>0</v>
      </c>
      <c r="E65" s="84">
        <f>+Referanseark!E65+(Referanseark!E65*'P2026 '!$D$1)</f>
        <v>0</v>
      </c>
      <c r="F65" s="84">
        <f>+Referanseark!F65+(Referanseark!F65*'P2026 '!$D$1)</f>
        <v>0</v>
      </c>
      <c r="G65" s="84">
        <f>+Referanseark!G65+(Referanseark!G65*'P2026 '!$D$1)</f>
        <v>322454.38400000002</v>
      </c>
      <c r="H65" s="84">
        <f>+Referanseark!H65+(Referanseark!H65*'P2026 '!$D$1)</f>
        <v>0</v>
      </c>
      <c r="I65" s="84">
        <f>+Referanseark!I65+(Referanseark!I65*'P2026 '!$D$1)</f>
        <v>0</v>
      </c>
      <c r="J65" s="85"/>
      <c r="K65" s="134">
        <f t="shared" si="3"/>
        <v>0</v>
      </c>
      <c r="L65" s="130">
        <f t="shared" si="4"/>
        <v>322454.38400000002</v>
      </c>
    </row>
    <row r="66" spans="1:12" collapsed="1" x14ac:dyDescent="0.35">
      <c r="A66" s="37"/>
      <c r="B66" s="62" t="s">
        <v>914</v>
      </c>
      <c r="C66" s="54"/>
      <c r="D66" s="85">
        <f t="shared" ref="D66:J66" si="5">SUM(D67:D101)</f>
        <v>1534716.4386658145</v>
      </c>
      <c r="E66" s="85">
        <f t="shared" si="5"/>
        <v>687938.7570453675</v>
      </c>
      <c r="F66" s="85">
        <f t="shared" si="5"/>
        <v>2514632.3106249203</v>
      </c>
      <c r="G66" s="85">
        <f t="shared" si="5"/>
        <v>2235266.0915680509</v>
      </c>
      <c r="H66" s="85">
        <f t="shared" si="5"/>
        <v>2341290.1092958469</v>
      </c>
      <c r="I66" s="85">
        <f t="shared" si="5"/>
        <v>1360933.28</v>
      </c>
      <c r="J66" s="85">
        <f t="shared" si="5"/>
        <v>6522526.7360000014</v>
      </c>
      <c r="K66" s="134">
        <f>I66+J66</f>
        <v>7883460.0160000017</v>
      </c>
      <c r="L66" s="130">
        <f t="shared" si="4"/>
        <v>17197303.723200001</v>
      </c>
    </row>
    <row r="67" spans="1:12" hidden="1" outlineLevel="1" x14ac:dyDescent="0.35">
      <c r="A67" s="37" t="s">
        <v>443</v>
      </c>
      <c r="B67" s="62" t="s">
        <v>444</v>
      </c>
      <c r="C67" s="54" t="s">
        <v>914</v>
      </c>
      <c r="D67" s="84">
        <f>+Referanseark!D67+(Referanseark!D67*'P2026 '!$D$1)</f>
        <v>4767.1232</v>
      </c>
      <c r="E67" s="84">
        <f>+Referanseark!E67+(Referanseark!E67*'P2026 '!$D$1)</f>
        <v>186855.36799999999</v>
      </c>
      <c r="F67" s="84">
        <f>+Referanseark!F67+(Referanseark!F67*'P2026 '!$D$1)+700000</f>
        <v>2709944.2944</v>
      </c>
      <c r="G67" s="84">
        <f>+Referanseark!G67+(Referanseark!G67*'P2026 '!$D$1)</f>
        <v>958730.6176</v>
      </c>
      <c r="H67" s="84">
        <f>+Referanseark!H67+(Referanseark!H67*'P2026 '!$D$1)</f>
        <v>2301176.6288000001</v>
      </c>
      <c r="I67" s="84">
        <f>+Referanseark!I67+(Referanseark!I67*'P2026 '!$D$1)</f>
        <v>1255452.5312000001</v>
      </c>
      <c r="J67" s="119">
        <v>600000</v>
      </c>
      <c r="K67" s="134">
        <f t="shared" si="3"/>
        <v>1855452.5312000001</v>
      </c>
      <c r="L67" s="130">
        <f t="shared" si="4"/>
        <v>8016926.5631999997</v>
      </c>
    </row>
    <row r="68" spans="1:12" ht="15.75" hidden="1" customHeight="1" outlineLevel="1" x14ac:dyDescent="0.35">
      <c r="A68" s="48" t="s">
        <v>445</v>
      </c>
      <c r="B68" s="62" t="s">
        <v>446</v>
      </c>
      <c r="C68" s="54" t="s">
        <v>914</v>
      </c>
      <c r="D68" s="119">
        <f>+Referanseark!D68+(Referanseark!D68*'P2026 '!$D$1)+140000</f>
        <v>1178436.5263999999</v>
      </c>
      <c r="E68" s="84">
        <f>+Referanseark!E68+(Referanseark!E68*'P2026 '!$D$1)</f>
        <v>0</v>
      </c>
      <c r="F68" s="84">
        <f>+Referanseark!F68+(Referanseark!F68*'P2026 '!$D$1)</f>
        <v>0</v>
      </c>
      <c r="G68" s="84">
        <f>+Referanseark!G68+(Referanseark!G68*'P2026 '!$D$1)</f>
        <v>0</v>
      </c>
      <c r="H68" s="84">
        <f>+Referanseark!H68+(Referanseark!H68*'P2026 '!$D$1)</f>
        <v>0</v>
      </c>
      <c r="I68" s="84">
        <f>+Referanseark!I68+(Referanseark!I68*'P2026 '!$D$1)</f>
        <v>0</v>
      </c>
      <c r="J68" s="85"/>
      <c r="K68" s="134">
        <f t="shared" si="3"/>
        <v>0</v>
      </c>
      <c r="L68" s="130">
        <f t="shared" si="4"/>
        <v>1178436.5263999999</v>
      </c>
    </row>
    <row r="69" spans="1:12" ht="15.75" hidden="1" customHeight="1" outlineLevel="1" x14ac:dyDescent="0.35">
      <c r="A69" s="37" t="s">
        <v>447</v>
      </c>
      <c r="B69" s="69" t="s">
        <v>448</v>
      </c>
      <c r="C69" s="54" t="s">
        <v>914</v>
      </c>
      <c r="D69" s="84">
        <f>+Referanseark!D69+(Referanseark!D69*'P2026 '!$D$1)</f>
        <v>0</v>
      </c>
      <c r="E69" s="84">
        <f>+Referanseark!E69+(Referanseark!E69*'P2026 '!$D$1)</f>
        <v>17092.331200000001</v>
      </c>
      <c r="F69" s="84">
        <f>+Referanseark!F69+(Referanseark!F69*'P2026 '!$D$1)</f>
        <v>13905.92</v>
      </c>
      <c r="G69" s="84">
        <f>+Referanseark!G69+(Referanseark!G69*'P2026 '!$D$1)</f>
        <v>100342.0768</v>
      </c>
      <c r="H69" s="84">
        <f>+Referanseark!H69+(Referanseark!H69*'P2026 '!$D$1)</f>
        <v>7920.9423999999999</v>
      </c>
      <c r="I69" s="84">
        <f>+Referanseark!I69+(Referanseark!I69*'P2026 '!$D$1)</f>
        <v>2129.3440000000001</v>
      </c>
      <c r="J69" s="85"/>
      <c r="K69" s="134">
        <f>I69+J69</f>
        <v>2129.3440000000001</v>
      </c>
      <c r="L69" s="130">
        <f>K69+D69+E69+F69+G69+H69</f>
        <v>141390.61439999999</v>
      </c>
    </row>
    <row r="70" spans="1:12" hidden="1" outlineLevel="1" x14ac:dyDescent="0.35">
      <c r="A70" s="37" t="s">
        <v>449</v>
      </c>
      <c r="B70" s="62" t="s">
        <v>450</v>
      </c>
      <c r="C70" s="54" t="s">
        <v>914</v>
      </c>
      <c r="D70" s="84">
        <f>+Referanseark!D70+(Referanseark!D70*'P2026 '!$D$1)</f>
        <v>0</v>
      </c>
      <c r="E70" s="84">
        <f>+Referanseark!E70+(Referanseark!E70*'P2026 '!$D$1)</f>
        <v>0</v>
      </c>
      <c r="F70" s="84">
        <f>+Referanseark!F70+(Referanseark!F70*'P2026 '!$D$1)</f>
        <v>0</v>
      </c>
      <c r="G70" s="84">
        <f>+Referanseark!G70+(Referanseark!G70*'P2026 '!$D$1)</f>
        <v>428041.6</v>
      </c>
      <c r="H70" s="84">
        <f>+Referanseark!H70+(Referanseark!H70*'P2026 '!$D$1)</f>
        <v>0</v>
      </c>
      <c r="I70" s="84">
        <f>+Referanseark!I70+(Referanseark!I70*'P2026 '!$D$1)</f>
        <v>0</v>
      </c>
      <c r="J70" s="85"/>
      <c r="K70" s="134">
        <f t="shared" ref="K70:K136" si="6">I70+J70</f>
        <v>0</v>
      </c>
      <c r="L70" s="130">
        <f t="shared" ref="L70:L136" si="7">K70+D70+E70+F70+G70+H70</f>
        <v>428041.6</v>
      </c>
    </row>
    <row r="71" spans="1:12" hidden="1" outlineLevel="1" x14ac:dyDescent="0.35">
      <c r="A71" s="37" t="s">
        <v>451</v>
      </c>
      <c r="B71" s="62" t="s">
        <v>452</v>
      </c>
      <c r="C71" s="54" t="s">
        <v>914</v>
      </c>
      <c r="D71" s="84">
        <f>+Referanseark!D71+(Referanseark!D71*'P2026 '!$D$1)</f>
        <v>7288.6576000000005</v>
      </c>
      <c r="E71" s="84">
        <f>+Referanseark!E71+(Referanseark!E71*'P2026 '!$D$1)</f>
        <v>47935.227200000001</v>
      </c>
      <c r="F71" s="84">
        <f>+Referanseark!F71+(Referanseark!F71*'P2026 '!$D$1)</f>
        <v>0</v>
      </c>
      <c r="G71" s="84">
        <f>+Referanseark!G71+(Referanseark!G71*'P2026 '!$D$1)</f>
        <v>16404.64</v>
      </c>
      <c r="H71" s="84">
        <f>+Referanseark!H71+(Referanseark!H71*'P2026 '!$D$1)</f>
        <v>0</v>
      </c>
      <c r="I71" s="84">
        <f>+Referanseark!I71+(Referanseark!I71*'P2026 '!$D$1)</f>
        <v>0</v>
      </c>
      <c r="J71" s="85"/>
      <c r="K71" s="134">
        <f t="shared" si="6"/>
        <v>0</v>
      </c>
      <c r="L71" s="130">
        <f t="shared" si="7"/>
        <v>71628.524799999999</v>
      </c>
    </row>
    <row r="72" spans="1:12" hidden="1" outlineLevel="1" x14ac:dyDescent="0.35">
      <c r="A72" s="37" t="s">
        <v>453</v>
      </c>
      <c r="B72" s="62" t="s">
        <v>454</v>
      </c>
      <c r="C72" s="54" t="s">
        <v>914</v>
      </c>
      <c r="D72" s="84">
        <f>+Referanseark!D72+(Referanseark!D72*'P2026 '!$D$1)</f>
        <v>0</v>
      </c>
      <c r="E72" s="84">
        <f>+Referanseark!E72+(Referanseark!E72*'P2026 '!$D$1)</f>
        <v>29729.335999999999</v>
      </c>
      <c r="F72" s="84">
        <f>+Referanseark!F72+(Referanseark!F72*'P2026 '!$D$1)</f>
        <v>16297.0864</v>
      </c>
      <c r="G72" s="84">
        <f>+Referanseark!G72+(Referanseark!G72*'P2026 '!$D$1)</f>
        <v>0</v>
      </c>
      <c r="H72" s="84">
        <f>+Referanseark!H72+(Referanseark!H72*'P2026 '!$D$1)</f>
        <v>0</v>
      </c>
      <c r="I72" s="84">
        <f>+Referanseark!I72+(Referanseark!I72*'P2026 '!$D$1)</f>
        <v>0</v>
      </c>
      <c r="J72" s="85"/>
      <c r="K72" s="134">
        <f t="shared" si="6"/>
        <v>0</v>
      </c>
      <c r="L72" s="130">
        <f t="shared" si="7"/>
        <v>46026.422399999996</v>
      </c>
    </row>
    <row r="73" spans="1:12" hidden="1" outlineLevel="1" x14ac:dyDescent="0.35">
      <c r="A73" s="37" t="s">
        <v>915</v>
      </c>
      <c r="B73" s="62" t="s">
        <v>455</v>
      </c>
      <c r="C73" s="54" t="s">
        <v>914</v>
      </c>
      <c r="D73" s="84">
        <f>+Referanseark!D73+(Referanseark!D73*'P2026 '!$D$1)</f>
        <v>0</v>
      </c>
      <c r="E73" s="84">
        <f>+Referanseark!E73+(Referanseark!E73*'P2026 '!$D$1)</f>
        <v>14018.9056</v>
      </c>
      <c r="F73" s="84">
        <f>+Referanseark!F73+(Referanseark!F73*'P2026 '!$D$1)</f>
        <v>0</v>
      </c>
      <c r="G73" s="84">
        <f>+Referanseark!G73+(Referanseark!G73*'P2026 '!$D$1)</f>
        <v>10325.1456</v>
      </c>
      <c r="H73" s="84">
        <f>+Referanseark!H73+(Referanseark!H73*'P2026 '!$D$1)</f>
        <v>0</v>
      </c>
      <c r="I73" s="84">
        <f>+Referanseark!I73+(Referanseark!I73*'P2026 '!$D$1)</f>
        <v>0</v>
      </c>
      <c r="J73" s="85"/>
      <c r="K73" s="134">
        <f t="shared" si="6"/>
        <v>0</v>
      </c>
      <c r="L73" s="130">
        <f t="shared" si="7"/>
        <v>24344.051200000002</v>
      </c>
    </row>
    <row r="74" spans="1:12" hidden="1" outlineLevel="1" x14ac:dyDescent="0.35">
      <c r="A74" s="37" t="s">
        <v>456</v>
      </c>
      <c r="B74" s="62" t="s">
        <v>457</v>
      </c>
      <c r="C74" s="54" t="s">
        <v>914</v>
      </c>
      <c r="D74" s="84">
        <f>+Referanseark!D74+(Referanseark!D74*'P2026 '!$D$1)</f>
        <v>5211.4607999999998</v>
      </c>
      <c r="E74" s="84">
        <f>+Referanseark!E74+(Referanseark!E74*'P2026 '!$D$1)</f>
        <v>12317.6032</v>
      </c>
      <c r="F74" s="84">
        <f>+Referanseark!F74+(Referanseark!F74*'P2026 '!$D$1)</f>
        <v>0</v>
      </c>
      <c r="G74" s="84">
        <f>+Referanseark!G74+(Referanseark!G74*'P2026 '!$D$1)</f>
        <v>0</v>
      </c>
      <c r="H74" s="84">
        <f>+Referanseark!H74+(Referanseark!H74*'P2026 '!$D$1)</f>
        <v>0</v>
      </c>
      <c r="I74" s="84">
        <f>+Referanseark!I74+(Referanseark!I74*'P2026 '!$D$1)</f>
        <v>0</v>
      </c>
      <c r="J74" s="85"/>
      <c r="K74" s="134">
        <f t="shared" si="6"/>
        <v>0</v>
      </c>
      <c r="L74" s="130">
        <f t="shared" si="7"/>
        <v>17529.063999999998</v>
      </c>
    </row>
    <row r="75" spans="1:12" hidden="1" outlineLevel="1" x14ac:dyDescent="0.35">
      <c r="A75" s="37"/>
      <c r="B75" s="117" t="s">
        <v>1302</v>
      </c>
      <c r="C75" s="118"/>
      <c r="D75" s="119">
        <f>+Referanseark!D75+(Referanseark!D75*'P2026 '!$D$1)</f>
        <v>0</v>
      </c>
      <c r="E75" s="119">
        <f>+Referanseark!E75+(Referanseark!E75*'P2026 '!$D$1)</f>
        <v>0</v>
      </c>
      <c r="F75" s="119">
        <f>+Referanseark!F75+(Referanseark!F75*'P2026 '!$D$1)-400000</f>
        <v>-896030.68479999993</v>
      </c>
      <c r="G75" s="119">
        <f>+Referanseark!G75+(Referanseark!G75*'P2026 '!$D$1)-150000</f>
        <v>-448861.03519999998</v>
      </c>
      <c r="H75" s="119">
        <f>+Referanseark!H75+(Referanseark!H75*'P2026 '!$D$1)</f>
        <v>-198056.152</v>
      </c>
      <c r="I75" s="119">
        <f>+Referanseark!I75+(Referanseark!I75*'P2026 '!$D$1)</f>
        <v>0</v>
      </c>
      <c r="J75" s="128">
        <f>-(D75+E75+F75+G75+H75)</f>
        <v>1542947.872</v>
      </c>
      <c r="K75" s="133">
        <f>+J75+I75</f>
        <v>1542947.872</v>
      </c>
      <c r="L75" s="129">
        <f>+K75+H75+G75+F75+E75+D75</f>
        <v>0</v>
      </c>
    </row>
    <row r="76" spans="1:12" hidden="1" outlineLevel="1" x14ac:dyDescent="0.35">
      <c r="A76" s="37"/>
      <c r="B76" s="117" t="s">
        <v>1303</v>
      </c>
      <c r="C76" s="118"/>
      <c r="D76" s="119">
        <f>+Referanseark!D76+(Referanseark!D76*'P2026 '!$D$1)</f>
        <v>0</v>
      </c>
      <c r="E76" s="119">
        <f>+Referanseark!E76+(Referanseark!E76*'P2026 '!$D$1)</f>
        <v>0</v>
      </c>
      <c r="F76" s="119">
        <f>+Referanseark!F76+(Referanseark!F76*'P2026 '!$D$1)</f>
        <v>0</v>
      </c>
      <c r="G76" s="119">
        <f>+Referanseark!G76+(Referanseark!G76*'P2026 '!$D$1)</f>
        <v>0</v>
      </c>
      <c r="H76" s="119">
        <f>+Referanseark!H76+(Referanseark!H76*'P2026 '!$D$1)</f>
        <v>0</v>
      </c>
      <c r="I76" s="119">
        <f>+Referanseark!I76+(Referanseark!I76*'P2026 '!$D$1)</f>
        <v>0</v>
      </c>
      <c r="J76" s="128"/>
      <c r="K76" s="133">
        <f>+J76+I76</f>
        <v>0</v>
      </c>
      <c r="L76" s="129">
        <f>+K76+H76+G76+F76+E76+D76</f>
        <v>0</v>
      </c>
    </row>
    <row r="77" spans="1:12" hidden="1" outlineLevel="1" x14ac:dyDescent="0.35">
      <c r="A77" s="37" t="s">
        <v>458</v>
      </c>
      <c r="B77" s="62" t="s">
        <v>459</v>
      </c>
      <c r="C77" s="54" t="s">
        <v>914</v>
      </c>
      <c r="D77" s="84">
        <f>+Referanseark!D77+(Referanseark!D77*'P2026 '!$D$1)</f>
        <v>240213.90400000001</v>
      </c>
      <c r="E77" s="84">
        <f>+Referanseark!E77+(Referanseark!E77*'P2026 '!$D$1)</f>
        <v>592211.84959999996</v>
      </c>
      <c r="F77" s="84">
        <f>+Referanseark!F77+(Referanseark!F77*'P2026 '!$D$1)</f>
        <v>2243919.0032000002</v>
      </c>
      <c r="G77" s="84">
        <f>+Referanseark!G77+(Referanseark!G77*'P2026 '!$D$1)</f>
        <v>1560570.1440000001</v>
      </c>
      <c r="H77" s="84">
        <f>+Referanseark!H77+(Referanseark!H77*'P2026 '!$D$1)</f>
        <v>1231038.9504</v>
      </c>
      <c r="I77" s="84">
        <f>+Referanseark!I77+(Referanseark!I77*'P2026 '!$D$1)</f>
        <v>0</v>
      </c>
      <c r="J77" s="85"/>
      <c r="K77" s="134">
        <f t="shared" si="6"/>
        <v>0</v>
      </c>
      <c r="L77" s="130">
        <f>K77+D77+E77+F77+G77+H77</f>
        <v>5867953.8511999995</v>
      </c>
    </row>
    <row r="78" spans="1:12" hidden="1" outlineLevel="1" x14ac:dyDescent="0.35">
      <c r="A78" s="37" t="s">
        <v>460</v>
      </c>
      <c r="B78" s="62" t="s">
        <v>461</v>
      </c>
      <c r="C78" s="54" t="s">
        <v>914</v>
      </c>
      <c r="D78" s="84">
        <f>+Referanseark!D78+(Referanseark!D78*'P2026 '!$D$1)</f>
        <v>0</v>
      </c>
      <c r="E78" s="84">
        <f>+Referanseark!E78+(Referanseark!E78*'P2026 '!$D$1)</f>
        <v>0</v>
      </c>
      <c r="F78" s="84">
        <f>+Referanseark!F78+(Referanseark!F78*'P2026 '!$D$1)</f>
        <v>0</v>
      </c>
      <c r="G78" s="84">
        <f>+Referanseark!G78+(Referanseark!G78*'P2026 '!$D$1)</f>
        <v>0</v>
      </c>
      <c r="H78" s="84">
        <f>+Referanseark!H78+(Referanseark!H78*'P2026 '!$D$1)</f>
        <v>0</v>
      </c>
      <c r="I78" s="84">
        <f>+Referanseark!I78+(Referanseark!I78*'P2026 '!$D$1)</f>
        <v>0</v>
      </c>
      <c r="J78" s="85"/>
      <c r="K78" s="134">
        <f t="shared" si="6"/>
        <v>0</v>
      </c>
      <c r="L78" s="130">
        <f t="shared" si="7"/>
        <v>0</v>
      </c>
    </row>
    <row r="79" spans="1:12" hidden="1" outlineLevel="1" x14ac:dyDescent="0.35">
      <c r="A79" s="37" t="s">
        <v>462</v>
      </c>
      <c r="B79" s="62" t="s">
        <v>916</v>
      </c>
      <c r="C79" s="54" t="s">
        <v>914</v>
      </c>
      <c r="D79" s="84">
        <f>+Referanseark!D79+(Referanseark!D79*'P2026 '!$D$1)</f>
        <v>0</v>
      </c>
      <c r="E79" s="84">
        <f>+Referanseark!E79+(Referanseark!E79*'P2026 '!$D$1)</f>
        <v>0</v>
      </c>
      <c r="F79" s="84">
        <f>+Referanseark!F79+(Referanseark!F79*'P2026 '!$D$1)</f>
        <v>0</v>
      </c>
      <c r="G79" s="84">
        <f>+Referanseark!G79+(Referanseark!G79*'P2026 '!$D$1)</f>
        <v>0</v>
      </c>
      <c r="H79" s="84">
        <f>+Referanseark!H79+(Referanseark!H79*'P2026 '!$D$1)</f>
        <v>0</v>
      </c>
      <c r="I79" s="84">
        <f>+Referanseark!I79+(Referanseark!I79*'P2026 '!$D$1)</f>
        <v>0</v>
      </c>
      <c r="J79" s="85"/>
      <c r="K79" s="134">
        <f t="shared" si="6"/>
        <v>0</v>
      </c>
      <c r="L79" s="130">
        <f>K79+D79+E79+F79+G79+H79</f>
        <v>0</v>
      </c>
    </row>
    <row r="80" spans="1:12" hidden="1" outlineLevel="1" x14ac:dyDescent="0.35">
      <c r="A80" s="37"/>
      <c r="B80" s="117" t="s">
        <v>1295</v>
      </c>
      <c r="C80" s="118"/>
      <c r="D80" s="119">
        <f>+Referanseark!D80+(Referanseark!D80*'P2026 '!$D$1)</f>
        <v>-240213.90400000001</v>
      </c>
      <c r="E80" s="119">
        <f>+Referanseark!E80+(Referanseark!E80*'P2026 '!$D$1)</f>
        <v>-592211.84959999996</v>
      </c>
      <c r="F80" s="119">
        <f>+Referanseark!F80+(Referanseark!F80*'P2026 '!$D$1)</f>
        <v>-2243919.0032000002</v>
      </c>
      <c r="G80" s="119">
        <f>+Referanseark!G80+(Referanseark!G80*'P2026 '!$D$1)</f>
        <v>-1135491.1568</v>
      </c>
      <c r="H80" s="119">
        <f>+Referanseark!H80+(Referanseark!H80*'P2026 '!$D$1)</f>
        <v>-1231038.9504</v>
      </c>
      <c r="I80" s="119">
        <f>+Referanseark!I80+(Referanseark!I80*'P2026 '!$D$1)</f>
        <v>0</v>
      </c>
      <c r="J80" s="128">
        <f>-(H80+G80+F80+E80+D80)</f>
        <v>5442874.864000001</v>
      </c>
      <c r="K80" s="133">
        <f>+J80+I80</f>
        <v>5442874.864000001</v>
      </c>
      <c r="L80" s="129">
        <f>+K80+H80+G80+F80+E80+D80</f>
        <v>1.3678800314664841E-9</v>
      </c>
    </row>
    <row r="81" spans="1:12" hidden="1" outlineLevel="1" x14ac:dyDescent="0.35">
      <c r="A81" s="37"/>
      <c r="B81" s="117" t="s">
        <v>1304</v>
      </c>
      <c r="C81" s="118"/>
      <c r="D81" s="119">
        <f>-J81*Medlemmer!B10</f>
        <v>55712.633865814692</v>
      </c>
      <c r="E81" s="119">
        <f>-J81*Medlemmer!C10</f>
        <v>116860.64664536742</v>
      </c>
      <c r="F81" s="119">
        <f>-J81*Medlemmer!D10</f>
        <v>461554.25942492014</v>
      </c>
      <c r="G81" s="119">
        <f>-Medlemmer!E10*'P2026 '!J81</f>
        <v>198919.76996805111</v>
      </c>
      <c r="H81" s="119">
        <f>-J81*Medlemmer!F10</f>
        <v>230248.69009584666</v>
      </c>
      <c r="I81" s="119">
        <f>+Referanseark!I81+(Referanseark!I81*'P2026 '!$D$1)</f>
        <v>0</v>
      </c>
      <c r="J81" s="214">
        <v>-1063296</v>
      </c>
      <c r="K81" s="133"/>
      <c r="L81" s="129">
        <f>+K81+H81+G81+F81+E81+D81</f>
        <v>1063296</v>
      </c>
    </row>
    <row r="82" spans="1:12" hidden="1" outlineLevel="1" x14ac:dyDescent="0.35">
      <c r="A82" s="37" t="s">
        <v>466</v>
      </c>
      <c r="B82" s="62" t="s">
        <v>467</v>
      </c>
      <c r="C82" s="54" t="s">
        <v>914</v>
      </c>
      <c r="D82" s="84">
        <f>+Referanseark!D82+(Referanseark!D82*'P2026 '!$D$1)</f>
        <v>0</v>
      </c>
      <c r="E82" s="84">
        <f>+Referanseark!E82+(Referanseark!E82*'P2026 '!$D$1)</f>
        <v>44797.703999999998</v>
      </c>
      <c r="F82" s="84">
        <f>+Referanseark!F82+(Referanseark!F82*'P2026 '!$D$1)</f>
        <v>0</v>
      </c>
      <c r="G82" s="84">
        <f>+Referanseark!G82+(Referanseark!G82*'P2026 '!$D$1)</f>
        <v>15499.668799999999</v>
      </c>
      <c r="H82" s="84">
        <f>+Referanseark!H82+(Referanseark!H82*'P2026 '!$D$1)</f>
        <v>0</v>
      </c>
      <c r="I82" s="84">
        <f>+Referanseark!I82+(Referanseark!I82*'P2026 '!$D$1)</f>
        <v>0</v>
      </c>
      <c r="J82" s="85"/>
      <c r="K82" s="134">
        <f t="shared" si="6"/>
        <v>0</v>
      </c>
      <c r="L82" s="130">
        <f t="shared" si="7"/>
        <v>60297.372799999997</v>
      </c>
    </row>
    <row r="83" spans="1:12" hidden="1" outlineLevel="1" x14ac:dyDescent="0.35">
      <c r="A83" s="37" t="s">
        <v>468</v>
      </c>
      <c r="B83" s="62" t="s">
        <v>469</v>
      </c>
      <c r="C83" s="54" t="s">
        <v>914</v>
      </c>
      <c r="D83" s="84">
        <f>+Referanseark!D83+(Referanseark!D83*'P2026 '!$D$1)-5967</f>
        <v>-52.63839999999982</v>
      </c>
      <c r="E83" s="84">
        <f>+Referanseark!E83+(Referanseark!E83*'P2026 '!$D$1)</f>
        <v>0</v>
      </c>
      <c r="F83" s="84">
        <f>+Referanseark!F83+(Referanseark!F83*'P2026 '!$D$1)</f>
        <v>0</v>
      </c>
      <c r="G83" s="84">
        <f>+Referanseark!G83+(Referanseark!G83*'P2026 '!$D$1)</f>
        <v>1213.5088000000001</v>
      </c>
      <c r="H83" s="84">
        <f>+Referanseark!H83+(Referanseark!H83*'P2026 '!$D$1)</f>
        <v>0</v>
      </c>
      <c r="I83" s="84">
        <f>+Referanseark!I83+(Referanseark!I83*'P2026 '!$D$1)</f>
        <v>0</v>
      </c>
      <c r="J83" s="85"/>
      <c r="K83" s="134">
        <f t="shared" si="6"/>
        <v>0</v>
      </c>
      <c r="L83" s="130">
        <f t="shared" si="7"/>
        <v>1160.8704000000002</v>
      </c>
    </row>
    <row r="84" spans="1:12" hidden="1" outlineLevel="1" x14ac:dyDescent="0.35">
      <c r="A84" s="37" t="s">
        <v>470</v>
      </c>
      <c r="B84" s="62" t="s">
        <v>471</v>
      </c>
      <c r="C84" s="54" t="s">
        <v>914</v>
      </c>
      <c r="D84" s="84">
        <f>+Referanseark!D84+(Referanseark!D84*'P2026 '!$D$1)</f>
        <v>0</v>
      </c>
      <c r="E84" s="84">
        <f>+Referanseark!E84+(Referanseark!E84*'P2026 '!$D$1)</f>
        <v>0</v>
      </c>
      <c r="F84" s="84">
        <f>+Referanseark!F84+(Referanseark!F84*'P2026 '!$D$1)</f>
        <v>0</v>
      </c>
      <c r="G84" s="84">
        <f>+Referanseark!G84+(Referanseark!G84*'P2026 '!$D$1)</f>
        <v>579.05119999999999</v>
      </c>
      <c r="H84" s="84">
        <f>+Referanseark!H84+(Referanseark!H84*'P2026 '!$D$1)</f>
        <v>0</v>
      </c>
      <c r="I84" s="84">
        <f>+Referanseark!I84+(Referanseark!I84*'P2026 '!$D$1)</f>
        <v>0</v>
      </c>
      <c r="J84" s="85"/>
      <c r="K84" s="134">
        <f t="shared" si="6"/>
        <v>0</v>
      </c>
      <c r="L84" s="130">
        <f t="shared" si="7"/>
        <v>579.05119999999999</v>
      </c>
    </row>
    <row r="85" spans="1:12" hidden="1" outlineLevel="1" x14ac:dyDescent="0.35">
      <c r="A85" s="37" t="s">
        <v>472</v>
      </c>
      <c r="B85" s="62" t="s">
        <v>473</v>
      </c>
      <c r="C85" s="54" t="s">
        <v>914</v>
      </c>
      <c r="D85" s="84">
        <f>+Referanseark!D85+(Referanseark!D85*'P2026 '!$D$1)</f>
        <v>0</v>
      </c>
      <c r="E85" s="84">
        <f>+Referanseark!E85+(Referanseark!E85*'P2026 '!$D$1)</f>
        <v>0</v>
      </c>
      <c r="F85" s="84">
        <f>+Referanseark!F85+(Referanseark!F85*'P2026 '!$D$1)</f>
        <v>0</v>
      </c>
      <c r="G85" s="84">
        <f>+Referanseark!G85+(Referanseark!G85*'P2026 '!$D$1)</f>
        <v>0</v>
      </c>
      <c r="H85" s="84">
        <f>+Referanseark!H85+(Referanseark!H85*'P2026 '!$D$1)</f>
        <v>0</v>
      </c>
      <c r="I85" s="84">
        <f>+Referanseark!I85+(Referanseark!I85*'P2026 '!$D$1)</f>
        <v>0</v>
      </c>
      <c r="J85" s="85"/>
      <c r="K85" s="134">
        <f t="shared" si="6"/>
        <v>0</v>
      </c>
      <c r="L85" s="130">
        <f t="shared" si="7"/>
        <v>0</v>
      </c>
    </row>
    <row r="86" spans="1:12" hidden="1" outlineLevel="1" x14ac:dyDescent="0.35">
      <c r="A86" s="37" t="s">
        <v>474</v>
      </c>
      <c r="B86" s="62" t="s">
        <v>475</v>
      </c>
      <c r="C86" s="54" t="s">
        <v>914</v>
      </c>
      <c r="D86" s="84">
        <f>+Referanseark!D86+(Referanseark!D86*'P2026 '!$D$1)</f>
        <v>0</v>
      </c>
      <c r="E86" s="84">
        <f>+Referanseark!E86+(Referanseark!E86*'P2026 '!$D$1)</f>
        <v>49792.9712</v>
      </c>
      <c r="F86" s="84">
        <f>+Referanseark!F86+(Referanseark!F86*'P2026 '!$D$1)</f>
        <v>0</v>
      </c>
      <c r="G86" s="84">
        <f>+Referanseark!G86+(Referanseark!G86*'P2026 '!$D$1)</f>
        <v>0</v>
      </c>
      <c r="H86" s="84">
        <f>+Referanseark!H86+(Referanseark!H86*'P2026 '!$D$1)</f>
        <v>0</v>
      </c>
      <c r="I86" s="84">
        <f>+Referanseark!I86+(Referanseark!I86*'P2026 '!$D$1)</f>
        <v>0</v>
      </c>
      <c r="J86" s="85"/>
      <c r="K86" s="134">
        <f t="shared" si="6"/>
        <v>0</v>
      </c>
      <c r="L86" s="130">
        <f t="shared" si="7"/>
        <v>49792.9712</v>
      </c>
    </row>
    <row r="87" spans="1:12" hidden="1" outlineLevel="1" x14ac:dyDescent="0.35">
      <c r="A87" s="37" t="s">
        <v>476</v>
      </c>
      <c r="B87" s="62" t="s">
        <v>477</v>
      </c>
      <c r="C87" s="54" t="s">
        <v>914</v>
      </c>
      <c r="D87" s="84">
        <f>+Referanseark!D87+(Referanseark!D87*'P2026 '!$D$1)</f>
        <v>0</v>
      </c>
      <c r="E87" s="84">
        <f>+Referanseark!E87+(Referanseark!E87*'P2026 '!$D$1)</f>
        <v>0</v>
      </c>
      <c r="F87" s="84">
        <f>+Referanseark!F87+(Referanseark!F87*'P2026 '!$D$1)</f>
        <v>0</v>
      </c>
      <c r="G87" s="84">
        <f>+Referanseark!G87+(Referanseark!G87*'P2026 '!$D$1)</f>
        <v>0</v>
      </c>
      <c r="H87" s="84">
        <f>+Referanseark!H87+(Referanseark!H87*'P2026 '!$D$1)</f>
        <v>0</v>
      </c>
      <c r="I87" s="84">
        <f>+Referanseark!I87+(Referanseark!I87*'P2026 '!$D$1)</f>
        <v>0</v>
      </c>
      <c r="J87" s="85"/>
      <c r="K87" s="134">
        <f t="shared" si="6"/>
        <v>0</v>
      </c>
      <c r="L87" s="130">
        <f t="shared" si="7"/>
        <v>0</v>
      </c>
    </row>
    <row r="88" spans="1:12" hidden="1" outlineLevel="1" x14ac:dyDescent="0.35">
      <c r="A88" s="37" t="s">
        <v>478</v>
      </c>
      <c r="B88" s="62" t="s">
        <v>479</v>
      </c>
      <c r="C88" s="54" t="s">
        <v>914</v>
      </c>
      <c r="D88" s="84">
        <f>+Referanseark!D88+(Referanseark!D88*'P2026 '!$D$1)</f>
        <v>257398.57920000001</v>
      </c>
      <c r="E88" s="84">
        <f>+Referanseark!E88+(Referanseark!E88*'P2026 '!$D$1)</f>
        <v>112269.6624</v>
      </c>
      <c r="F88" s="84">
        <f>+Referanseark!F88+(Referanseark!F88*'P2026 '!$D$1)</f>
        <v>0</v>
      </c>
      <c r="G88" s="84">
        <f>+Referanseark!G88+(Referanseark!G88*'P2026 '!$D$1)</f>
        <v>424407.592</v>
      </c>
      <c r="H88" s="84">
        <f>+Referanseark!H88+(Referanseark!H88*'P2026 '!$D$1)</f>
        <v>0</v>
      </c>
      <c r="I88" s="84">
        <f>+Referanseark!I88+(Referanseark!I88*'P2026 '!$D$1)</f>
        <v>103351.4048</v>
      </c>
      <c r="J88" s="85"/>
      <c r="K88" s="134">
        <f t="shared" si="6"/>
        <v>103351.4048</v>
      </c>
      <c r="L88" s="130">
        <f t="shared" si="7"/>
        <v>897427.23839999991</v>
      </c>
    </row>
    <row r="89" spans="1:12" hidden="1" outlineLevel="1" x14ac:dyDescent="0.35">
      <c r="A89" s="37" t="s">
        <v>480</v>
      </c>
      <c r="B89" s="62" t="s">
        <v>481</v>
      </c>
      <c r="C89" s="54" t="s">
        <v>914</v>
      </c>
      <c r="D89" s="84">
        <f>+Referanseark!D89+(Referanseark!D89*'P2026 '!$D$1)</f>
        <v>0</v>
      </c>
      <c r="E89" s="84">
        <f>+Referanseark!E89+(Referanseark!E89*'P2026 '!$D$1)</f>
        <v>0</v>
      </c>
      <c r="F89" s="84">
        <f>+Referanseark!F89+(Referanseark!F89*'P2026 '!$D$1)</f>
        <v>0</v>
      </c>
      <c r="G89" s="84">
        <f>+Referanseark!G89+(Referanseark!G89*'P2026 '!$D$1)</f>
        <v>0</v>
      </c>
      <c r="H89" s="84">
        <f>+Referanseark!H89+(Referanseark!H89*'P2026 '!$D$1)</f>
        <v>0</v>
      </c>
      <c r="I89" s="84">
        <f>+Referanseark!I89+(Referanseark!I89*'P2026 '!$D$1)</f>
        <v>0</v>
      </c>
      <c r="J89" s="85"/>
      <c r="K89" s="134">
        <f t="shared" si="6"/>
        <v>0</v>
      </c>
      <c r="L89" s="130">
        <f t="shared" si="7"/>
        <v>0</v>
      </c>
    </row>
    <row r="90" spans="1:12" hidden="1" outlineLevel="1" x14ac:dyDescent="0.35">
      <c r="A90" s="37" t="s">
        <v>482</v>
      </c>
      <c r="B90" s="62" t="s">
        <v>483</v>
      </c>
      <c r="C90" s="54" t="s">
        <v>914</v>
      </c>
      <c r="D90" s="84">
        <f>+Referanseark!D90+(Referanseark!D90*'P2026 '!$D$1)</f>
        <v>0</v>
      </c>
      <c r="E90" s="84">
        <f>+Referanseark!E90+(Referanseark!E90*'P2026 '!$D$1)</f>
        <v>0</v>
      </c>
      <c r="F90" s="84">
        <f>+Referanseark!F90+(Referanseark!F90*'P2026 '!$D$1)</f>
        <v>0</v>
      </c>
      <c r="G90" s="84">
        <f>+Referanseark!G90+(Referanseark!G90*'P2026 '!$D$1)</f>
        <v>2534.5711999999999</v>
      </c>
      <c r="H90" s="84">
        <f>+Referanseark!H90+(Referanseark!H90*'P2026 '!$D$1)</f>
        <v>0</v>
      </c>
      <c r="I90" s="84">
        <f>+Referanseark!I90+(Referanseark!I90*'P2026 '!$D$1)</f>
        <v>0</v>
      </c>
      <c r="J90" s="85"/>
      <c r="K90" s="134">
        <f t="shared" si="6"/>
        <v>0</v>
      </c>
      <c r="L90" s="130">
        <f t="shared" si="7"/>
        <v>2534.5711999999999</v>
      </c>
    </row>
    <row r="91" spans="1:12" hidden="1" outlineLevel="1" x14ac:dyDescent="0.35">
      <c r="A91" s="37" t="s">
        <v>484</v>
      </c>
      <c r="B91" s="62" t="s">
        <v>485</v>
      </c>
      <c r="C91" s="54" t="s">
        <v>914</v>
      </c>
      <c r="D91" s="84">
        <f>+Referanseark!D91+(Referanseark!D91*'P2026 '!$D$1)</f>
        <v>0</v>
      </c>
      <c r="E91" s="84">
        <f>+Referanseark!E91+(Referanseark!E91*'P2026 '!$D$1)</f>
        <v>0</v>
      </c>
      <c r="F91" s="84">
        <f>+Referanseark!F91+(Referanseark!F91*'P2026 '!$D$1)</f>
        <v>0</v>
      </c>
      <c r="G91" s="84">
        <f>+Referanseark!G91+(Referanseark!G91*'P2026 '!$D$1)</f>
        <v>724.62879999999996</v>
      </c>
      <c r="H91" s="84">
        <f>+Referanseark!H91+(Referanseark!H91*'P2026 '!$D$1)</f>
        <v>0</v>
      </c>
      <c r="I91" s="84">
        <f>+Referanseark!I91+(Referanseark!I91*'P2026 '!$D$1)</f>
        <v>0</v>
      </c>
      <c r="J91" s="85"/>
      <c r="K91" s="134">
        <f t="shared" si="6"/>
        <v>0</v>
      </c>
      <c r="L91" s="130">
        <f t="shared" si="7"/>
        <v>724.62879999999996</v>
      </c>
    </row>
    <row r="92" spans="1:12" hidden="1" outlineLevel="1" x14ac:dyDescent="0.35">
      <c r="A92" s="37" t="s">
        <v>486</v>
      </c>
      <c r="B92" s="62" t="s">
        <v>487</v>
      </c>
      <c r="C92" s="54" t="s">
        <v>914</v>
      </c>
      <c r="D92" s="84">
        <f>+Referanseark!D92+(Referanseark!D92*'P2026 '!$D$1)</f>
        <v>0</v>
      </c>
      <c r="E92" s="84">
        <f>+Referanseark!E92+(Referanseark!E92*'P2026 '!$D$1)</f>
        <v>0</v>
      </c>
      <c r="F92" s="84">
        <f>+Referanseark!F92+(Referanseark!F92*'P2026 '!$D$1)</f>
        <v>0</v>
      </c>
      <c r="G92" s="84">
        <f>+Referanseark!G92+(Referanseark!G92*'P2026 '!$D$1)</f>
        <v>0</v>
      </c>
      <c r="H92" s="84">
        <f>+Referanseark!H92+(Referanseark!H92*'P2026 '!$D$1)</f>
        <v>0</v>
      </c>
      <c r="I92" s="84">
        <f>+Referanseark!I92+(Referanseark!I92*'P2026 '!$D$1)</f>
        <v>0</v>
      </c>
      <c r="J92" s="85"/>
      <c r="K92" s="134">
        <f t="shared" si="6"/>
        <v>0</v>
      </c>
      <c r="L92" s="130">
        <f t="shared" si="7"/>
        <v>0</v>
      </c>
    </row>
    <row r="93" spans="1:12" hidden="1" outlineLevel="1" x14ac:dyDescent="0.35">
      <c r="A93" s="37" t="s">
        <v>488</v>
      </c>
      <c r="B93" s="62" t="s">
        <v>489</v>
      </c>
      <c r="C93" s="54" t="s">
        <v>914</v>
      </c>
      <c r="D93" s="84">
        <f>+Referanseark!D93+(Referanseark!D93*'P2026 '!$D$1)</f>
        <v>0</v>
      </c>
      <c r="E93" s="84">
        <f>+Referanseark!E93+(Referanseark!E93*'P2026 '!$D$1)</f>
        <v>0</v>
      </c>
      <c r="F93" s="84">
        <f>+Referanseark!F93+(Referanseark!F93*'P2026 '!$D$1)</f>
        <v>0</v>
      </c>
      <c r="G93" s="84">
        <f>+Referanseark!G93+(Referanseark!G93*'P2026 '!$D$1)</f>
        <v>0</v>
      </c>
      <c r="H93" s="84">
        <f>+Referanseark!H93+(Referanseark!H93*'P2026 '!$D$1)</f>
        <v>0</v>
      </c>
      <c r="I93" s="84">
        <f>+Referanseark!I93+(Referanseark!I93*'P2026 '!$D$1)</f>
        <v>0</v>
      </c>
      <c r="J93" s="85"/>
      <c r="K93" s="134">
        <f t="shared" si="6"/>
        <v>0</v>
      </c>
      <c r="L93" s="130">
        <f t="shared" si="7"/>
        <v>0</v>
      </c>
    </row>
    <row r="94" spans="1:12" hidden="1" outlineLevel="1" x14ac:dyDescent="0.35">
      <c r="A94" s="37" t="s">
        <v>490</v>
      </c>
      <c r="B94" s="62" t="s">
        <v>491</v>
      </c>
      <c r="C94" s="54" t="s">
        <v>914</v>
      </c>
      <c r="D94" s="84">
        <f>+Referanseark!D94+(Referanseark!D94*'P2026 '!$D$1)</f>
        <v>0</v>
      </c>
      <c r="E94" s="84">
        <f>+Referanseark!E94+(Referanseark!E94*'P2026 '!$D$1)</f>
        <v>0</v>
      </c>
      <c r="F94" s="84">
        <f>+Referanseark!F94+(Referanseark!F94*'P2026 '!$D$1)</f>
        <v>0</v>
      </c>
      <c r="G94" s="84">
        <f>+Referanseark!G94+(Referanseark!G94*'P2026 '!$D$1)</f>
        <v>309.62400000000002</v>
      </c>
      <c r="H94" s="84">
        <f>+Referanseark!H94+(Referanseark!H94*'P2026 '!$D$1)</f>
        <v>0</v>
      </c>
      <c r="I94" s="84">
        <f>+Referanseark!I94+(Referanseark!I94*'P2026 '!$D$1)</f>
        <v>0</v>
      </c>
      <c r="J94" s="85"/>
      <c r="K94" s="134">
        <f t="shared" si="6"/>
        <v>0</v>
      </c>
      <c r="L94" s="130">
        <f t="shared" si="7"/>
        <v>309.62400000000002</v>
      </c>
    </row>
    <row r="95" spans="1:12" hidden="1" outlineLevel="1" x14ac:dyDescent="0.35">
      <c r="A95" s="37" t="s">
        <v>492</v>
      </c>
      <c r="B95" s="62" t="s">
        <v>493</v>
      </c>
      <c r="C95" s="54" t="s">
        <v>914</v>
      </c>
      <c r="D95" s="84">
        <f>+Referanseark!D95+(Referanseark!D95*'P2026 '!$D$1)</f>
        <v>0</v>
      </c>
      <c r="E95" s="84">
        <f>+Referanseark!E95+(Referanseark!E95*'P2026 '!$D$1)</f>
        <v>0</v>
      </c>
      <c r="F95" s="84">
        <f>+Referanseark!F95+(Referanseark!F95*'P2026 '!$D$1)</f>
        <v>0</v>
      </c>
      <c r="G95" s="84">
        <f>+Referanseark!G95+(Referanseark!G95*'P2026 '!$D$1)</f>
        <v>0</v>
      </c>
      <c r="H95" s="84">
        <f>+Referanseark!H95+(Referanseark!H95*'P2026 '!$D$1)</f>
        <v>0</v>
      </c>
      <c r="I95" s="84">
        <f>+Referanseark!I95+(Referanseark!I95*'P2026 '!$D$1)</f>
        <v>0</v>
      </c>
      <c r="J95" s="85"/>
      <c r="K95" s="134">
        <f t="shared" si="6"/>
        <v>0</v>
      </c>
      <c r="L95" s="130">
        <f t="shared" si="7"/>
        <v>0</v>
      </c>
    </row>
    <row r="96" spans="1:12" hidden="1" outlineLevel="1" x14ac:dyDescent="0.35">
      <c r="A96" s="37" t="s">
        <v>917</v>
      </c>
      <c r="B96" s="62" t="s">
        <v>918</v>
      </c>
      <c r="C96" s="54" t="s">
        <v>914</v>
      </c>
      <c r="D96" s="84">
        <f>+Referanseark!D96+(Referanseark!D96*'P2026 '!$D$1)</f>
        <v>0</v>
      </c>
      <c r="E96" s="84">
        <f>+Referanseark!E96+(Referanseark!E96*'P2026 '!$D$1)</f>
        <v>0</v>
      </c>
      <c r="F96" s="84">
        <f>+Referanseark!F96+(Referanseark!F96*'P2026 '!$D$1)</f>
        <v>0</v>
      </c>
      <c r="G96" s="84">
        <f>+Referanseark!G96+(Referanseark!G96*'P2026 '!$D$1)</f>
        <v>0</v>
      </c>
      <c r="H96" s="84">
        <f>+Referanseark!H96+(Referanseark!H96*'P2026 '!$D$1)</f>
        <v>0</v>
      </c>
      <c r="I96" s="84">
        <f>+Referanseark!I96+(Referanseark!I96*'P2026 '!$D$1)</f>
        <v>0</v>
      </c>
      <c r="J96" s="85"/>
      <c r="K96" s="134">
        <f t="shared" si="6"/>
        <v>0</v>
      </c>
      <c r="L96" s="130">
        <f t="shared" si="7"/>
        <v>0</v>
      </c>
    </row>
    <row r="97" spans="1:12" hidden="1" outlineLevel="1" x14ac:dyDescent="0.35">
      <c r="A97" s="37" t="s">
        <v>494</v>
      </c>
      <c r="B97" s="62" t="s">
        <v>495</v>
      </c>
      <c r="C97" s="54" t="s">
        <v>914</v>
      </c>
      <c r="D97" s="84">
        <f>+Referanseark!D97+(Referanseark!D97*'P2026 '!$D$1)</f>
        <v>25954.096000000001</v>
      </c>
      <c r="E97" s="84">
        <f>+Referanseark!E97+(Referanseark!E97*'P2026 '!$D$1)</f>
        <v>21630.224000000002</v>
      </c>
      <c r="F97" s="84">
        <f>+Referanseark!F97+(Referanseark!F97*'P2026 '!$D$1)</f>
        <v>208961.43520000001</v>
      </c>
      <c r="G97" s="84">
        <f>+Referanseark!G97+(Referanseark!G97*'P2026 '!$D$1)</f>
        <v>101015.64479999999</v>
      </c>
      <c r="H97" s="84">
        <f>+Referanseark!H97+(Referanseark!H97*'P2026 '!$D$1)</f>
        <v>0</v>
      </c>
      <c r="I97" s="84">
        <f>+Referanseark!I97+(Referanseark!I97*'P2026 '!$D$1)</f>
        <v>0</v>
      </c>
      <c r="J97" s="85"/>
      <c r="K97" s="134">
        <f t="shared" si="6"/>
        <v>0</v>
      </c>
      <c r="L97" s="130">
        <f t="shared" si="7"/>
        <v>357561.4</v>
      </c>
    </row>
    <row r="98" spans="1:12" hidden="1" outlineLevel="1" x14ac:dyDescent="0.35">
      <c r="A98" s="37" t="s">
        <v>496</v>
      </c>
      <c r="B98" s="62" t="s">
        <v>497</v>
      </c>
      <c r="C98" s="54" t="s">
        <v>914</v>
      </c>
      <c r="D98" s="84">
        <f>+Referanseark!D98+(Referanseark!D98*'P2026 '!$D$1)</f>
        <v>0</v>
      </c>
      <c r="E98" s="84">
        <f>+Referanseark!E98+(Referanseark!E98*'P2026 '!$D$1)</f>
        <v>0</v>
      </c>
      <c r="F98" s="84">
        <f>+Referanseark!F98+(Referanseark!F98*'P2026 '!$D$1)</f>
        <v>0</v>
      </c>
      <c r="G98" s="84">
        <f>+Referanseark!G98+(Referanseark!G98*'P2026 '!$D$1)</f>
        <v>0</v>
      </c>
      <c r="H98" s="84">
        <f>+Referanseark!H98+(Referanseark!H98*'P2026 '!$D$1)</f>
        <v>0</v>
      </c>
      <c r="I98" s="84">
        <f>+Referanseark!I98+(Referanseark!I98*'P2026 '!$D$1)</f>
        <v>0</v>
      </c>
      <c r="J98" s="85"/>
      <c r="K98" s="134">
        <f t="shared" si="6"/>
        <v>0</v>
      </c>
      <c r="L98" s="130">
        <f t="shared" si="7"/>
        <v>0</v>
      </c>
    </row>
    <row r="99" spans="1:12" hidden="1" outlineLevel="1" x14ac:dyDescent="0.35">
      <c r="A99" s="37" t="s">
        <v>498</v>
      </c>
      <c r="B99" s="62" t="s">
        <v>499</v>
      </c>
      <c r="C99" s="54" t="s">
        <v>914</v>
      </c>
      <c r="D99" s="84">
        <f>+Referanseark!D99+(Referanseark!D99*'P2026 '!$D$1)</f>
        <v>0</v>
      </c>
      <c r="E99" s="84">
        <f>+Referanseark!E99+(Referanseark!E99*'P2026 '!$D$1)</f>
        <v>34638.777600000001</v>
      </c>
      <c r="F99" s="84">
        <f>+Referanseark!F99+(Referanseark!F99*'P2026 '!$D$1)</f>
        <v>0</v>
      </c>
      <c r="G99" s="84">
        <f>+Referanseark!G99+(Referanseark!G99*'P2026 '!$D$1)</f>
        <v>0</v>
      </c>
      <c r="H99" s="84">
        <f>+Referanseark!H99+(Referanseark!H99*'P2026 '!$D$1)</f>
        <v>0</v>
      </c>
      <c r="I99" s="84">
        <f>+Referanseark!I99+(Referanseark!I99*'P2026 '!$D$1)</f>
        <v>0</v>
      </c>
      <c r="J99" s="85"/>
      <c r="K99" s="134">
        <f t="shared" si="6"/>
        <v>0</v>
      </c>
      <c r="L99" s="130">
        <f t="shared" si="7"/>
        <v>34638.777600000001</v>
      </c>
    </row>
    <row r="100" spans="1:12" hidden="1" outlineLevel="1" x14ac:dyDescent="0.35">
      <c r="A100" s="37" t="s">
        <v>500</v>
      </c>
      <c r="B100" s="62" t="s">
        <v>501</v>
      </c>
      <c r="C100" s="54" t="s">
        <v>914</v>
      </c>
      <c r="D100" s="84">
        <f>+Referanseark!D100+(Referanseark!D100*'P2026 '!$D$1)</f>
        <v>0</v>
      </c>
      <c r="E100" s="84">
        <f>+Referanseark!E100+(Referanseark!E100*'P2026 '!$D$1)</f>
        <v>0</v>
      </c>
      <c r="F100" s="84">
        <f>+Referanseark!F100+(Referanseark!F100*'P2026 '!$D$1)</f>
        <v>0</v>
      </c>
      <c r="G100" s="84">
        <f>+Referanseark!G100+(Referanseark!G100*'P2026 '!$D$1)</f>
        <v>0</v>
      </c>
      <c r="H100" s="84">
        <f>+Referanseark!H100+(Referanseark!H100*'P2026 '!$D$1)</f>
        <v>0</v>
      </c>
      <c r="I100" s="84">
        <f>+Referanseark!I100+(Referanseark!I100*'P2026 '!$D$1)</f>
        <v>0</v>
      </c>
      <c r="J100" s="85"/>
      <c r="K100" s="134">
        <f t="shared" si="6"/>
        <v>0</v>
      </c>
      <c r="L100" s="130">
        <f t="shared" si="7"/>
        <v>0</v>
      </c>
    </row>
    <row r="101" spans="1:12" hidden="1" outlineLevel="1" x14ac:dyDescent="0.35">
      <c r="A101" s="37" t="s">
        <v>502</v>
      </c>
      <c r="B101" s="62" t="s">
        <v>503</v>
      </c>
      <c r="C101" s="54" t="s">
        <v>914</v>
      </c>
      <c r="D101" s="84">
        <f>+Referanseark!D101+(Referanseark!D101*'P2026 '!$D$1)</f>
        <v>0</v>
      </c>
      <c r="E101" s="84">
        <f>+Referanseark!E101+(Referanseark!E101*'P2026 '!$D$1)</f>
        <v>0</v>
      </c>
      <c r="F101" s="84">
        <f>+Referanseark!F101+(Referanseark!F101*'P2026 '!$D$1)</f>
        <v>0</v>
      </c>
      <c r="G101" s="84">
        <f>+Referanseark!G101+(Referanseark!G101*'P2026 '!$D$1)</f>
        <v>0</v>
      </c>
      <c r="H101" s="84">
        <f>+Referanseark!H101+(Referanseark!H101*'P2026 '!$D$1)</f>
        <v>0</v>
      </c>
      <c r="I101" s="84">
        <f>+Referanseark!I101+(Referanseark!I101*'P2026 '!$D$1)</f>
        <v>0</v>
      </c>
      <c r="J101" s="85"/>
      <c r="K101" s="134">
        <f t="shared" si="6"/>
        <v>0</v>
      </c>
      <c r="L101" s="130">
        <f t="shared" si="7"/>
        <v>0</v>
      </c>
    </row>
    <row r="102" spans="1:12" s="12" customFormat="1" x14ac:dyDescent="0.35">
      <c r="A102" s="52"/>
      <c r="B102" s="72" t="s">
        <v>1289</v>
      </c>
      <c r="C102" s="53"/>
      <c r="D102" s="88">
        <f>D4+D66</f>
        <v>1637968.0935991479</v>
      </c>
      <c r="E102" s="88">
        <f>E4+E66</f>
        <v>1081344.8386453674</v>
      </c>
      <c r="F102" s="88">
        <f t="shared" ref="F102" si="8">F4+F66</f>
        <v>3488864.7698249202</v>
      </c>
      <c r="G102" s="88">
        <f t="shared" ref="G102:H102" si="9">G4+G66</f>
        <v>3421525.8067680509</v>
      </c>
      <c r="H102" s="88">
        <f t="shared" si="9"/>
        <v>3313342.1636958467</v>
      </c>
      <c r="I102" s="88">
        <f t="shared" ref="I102" si="10">I4+I66</f>
        <v>1604491.1232</v>
      </c>
      <c r="J102" s="88"/>
      <c r="K102" s="137">
        <f>K4+K66</f>
        <v>8127017.8592000017</v>
      </c>
      <c r="L102" s="138">
        <f t="shared" si="7"/>
        <v>21070063.531733334</v>
      </c>
    </row>
    <row r="103" spans="1:12" collapsed="1" x14ac:dyDescent="0.35">
      <c r="A103" s="37"/>
      <c r="B103" s="69" t="s">
        <v>920</v>
      </c>
      <c r="C103" s="54"/>
      <c r="D103" s="85">
        <f>SUM(D104:D147)</f>
        <v>55397.708799999993</v>
      </c>
      <c r="E103" s="85">
        <f>SUM(E104:E147)</f>
        <v>276971.16159999999</v>
      </c>
      <c r="F103" s="85">
        <f t="shared" ref="F103" si="11">SUM(F104:F147)</f>
        <v>797166.64159999997</v>
      </c>
      <c r="G103" s="85">
        <f t="shared" ref="G103:H103" si="12">SUM(G104:G147)</f>
        <v>391966.60160000005</v>
      </c>
      <c r="H103" s="85">
        <f t="shared" si="12"/>
        <v>497827.59039999999</v>
      </c>
      <c r="I103" s="85">
        <f t="shared" ref="I103" si="13">SUM(I104:I147)</f>
        <v>566194.74239999987</v>
      </c>
      <c r="J103" s="85"/>
      <c r="K103" s="134">
        <f t="shared" si="6"/>
        <v>566194.74239999987</v>
      </c>
      <c r="L103" s="130">
        <f t="shared" si="7"/>
        <v>2585524.4464000002</v>
      </c>
    </row>
    <row r="104" spans="1:12" hidden="1" outlineLevel="1" x14ac:dyDescent="0.35">
      <c r="A104" s="37" t="s">
        <v>504</v>
      </c>
      <c r="B104" s="62" t="s">
        <v>505</v>
      </c>
      <c r="C104" s="54" t="s">
        <v>920</v>
      </c>
      <c r="D104" s="84">
        <f>+Referanseark!D104+(Referanseark!D104*'P2026 '!$D$1)</f>
        <v>0</v>
      </c>
      <c r="E104" s="84">
        <f>+Referanseark!E104+(Referanseark!E104*'P2026 '!$D$1)</f>
        <v>26014.934399999998</v>
      </c>
      <c r="F104" s="84">
        <f>+Referanseark!F104+(Referanseark!F104*'P2026 '!$D$1)</f>
        <v>18041.844799999999</v>
      </c>
      <c r="G104" s="84">
        <f>+Referanseark!G104+(Referanseark!G104*'P2026 '!$D$1)</f>
        <v>6121.8639999999996</v>
      </c>
      <c r="H104" s="84">
        <f>+Referanseark!H104+(Referanseark!H104*'P2026 '!$D$1)</f>
        <v>0</v>
      </c>
      <c r="I104" s="84">
        <f>+Referanseark!I104+(Referanseark!I104*'P2026 '!$D$1)</f>
        <v>0</v>
      </c>
      <c r="J104" s="85"/>
      <c r="K104" s="134">
        <f t="shared" si="6"/>
        <v>0</v>
      </c>
      <c r="L104" s="130">
        <f t="shared" si="7"/>
        <v>50178.643199999999</v>
      </c>
    </row>
    <row r="105" spans="1:12" hidden="1" outlineLevel="1" x14ac:dyDescent="0.35">
      <c r="A105" s="37" t="s">
        <v>506</v>
      </c>
      <c r="B105" s="69" t="s">
        <v>921</v>
      </c>
      <c r="C105" s="54" t="s">
        <v>920</v>
      </c>
      <c r="D105" s="84">
        <f>+Referanseark!D105+(Referanseark!D105*'P2026 '!$D$1)</f>
        <v>0</v>
      </c>
      <c r="E105" s="84">
        <f>+Referanseark!E105+(Referanseark!E105*'P2026 '!$D$1)</f>
        <v>0</v>
      </c>
      <c r="F105" s="84">
        <f>+Referanseark!F105+(Referanseark!F105*'P2026 '!$D$1)</f>
        <v>0</v>
      </c>
      <c r="G105" s="84">
        <f>+Referanseark!G105+(Referanseark!G105*'P2026 '!$D$1)</f>
        <v>206.416</v>
      </c>
      <c r="H105" s="84">
        <f>+Referanseark!H105+(Referanseark!H105*'P2026 '!$D$1)</f>
        <v>0</v>
      </c>
      <c r="I105" s="84">
        <f>+Referanseark!I105+(Referanseark!I105*'P2026 '!$D$1)</f>
        <v>0</v>
      </c>
      <c r="J105" s="85"/>
      <c r="K105" s="134">
        <f t="shared" si="6"/>
        <v>0</v>
      </c>
      <c r="L105" s="130">
        <f t="shared" si="7"/>
        <v>206.416</v>
      </c>
    </row>
    <row r="106" spans="1:12" hidden="1" outlineLevel="1" x14ac:dyDescent="0.35">
      <c r="A106" s="37" t="s">
        <v>508</v>
      </c>
      <c r="B106" s="62" t="s">
        <v>335</v>
      </c>
      <c r="C106" s="54" t="s">
        <v>920</v>
      </c>
      <c r="D106" s="84">
        <f>+Referanseark!D106+(Referanseark!D106*'P2026 '!$D$1)</f>
        <v>0</v>
      </c>
      <c r="E106" s="84">
        <f>+Referanseark!E106+(Referanseark!E106*'P2026 '!$D$1)</f>
        <v>0</v>
      </c>
      <c r="F106" s="84">
        <f>+Referanseark!F106+(Referanseark!F106*'P2026 '!$D$1)</f>
        <v>0</v>
      </c>
      <c r="G106" s="84">
        <f>+Referanseark!G106+(Referanseark!G106*'P2026 '!$D$1)</f>
        <v>0</v>
      </c>
      <c r="H106" s="84">
        <f>+Referanseark!H106+(Referanseark!H106*'P2026 '!$D$1)</f>
        <v>0</v>
      </c>
      <c r="I106" s="84">
        <f>+Referanseark!I106+(Referanseark!I106*'P2026 '!$D$1)</f>
        <v>0</v>
      </c>
      <c r="J106" s="85"/>
      <c r="K106" s="134">
        <f t="shared" si="6"/>
        <v>0</v>
      </c>
      <c r="L106" s="130">
        <f t="shared" si="7"/>
        <v>0</v>
      </c>
    </row>
    <row r="107" spans="1:12" hidden="1" outlineLevel="1" x14ac:dyDescent="0.35">
      <c r="A107" s="37" t="s">
        <v>509</v>
      </c>
      <c r="B107" s="62" t="s">
        <v>337</v>
      </c>
      <c r="C107" s="54" t="s">
        <v>920</v>
      </c>
      <c r="D107" s="84">
        <f>+Referanseark!D107+(Referanseark!D107*'P2026 '!$D$1)</f>
        <v>0</v>
      </c>
      <c r="E107" s="84">
        <f>+Referanseark!E107+(Referanseark!E107*'P2026 '!$D$1)</f>
        <v>0</v>
      </c>
      <c r="F107" s="84">
        <f>+Referanseark!F107+(Referanseark!F107*'P2026 '!$D$1)</f>
        <v>0</v>
      </c>
      <c r="G107" s="84">
        <f>+Referanseark!G107+(Referanseark!G107*'P2026 '!$D$1)</f>
        <v>0</v>
      </c>
      <c r="H107" s="84">
        <f>+Referanseark!H107+(Referanseark!H107*'P2026 '!$D$1)</f>
        <v>0</v>
      </c>
      <c r="I107" s="84">
        <f>+Referanseark!I107+(Referanseark!I107*'P2026 '!$D$1)</f>
        <v>0</v>
      </c>
      <c r="J107" s="85"/>
      <c r="K107" s="134">
        <f t="shared" si="6"/>
        <v>0</v>
      </c>
      <c r="L107" s="130">
        <f t="shared" si="7"/>
        <v>0</v>
      </c>
    </row>
    <row r="108" spans="1:12" hidden="1" outlineLevel="1" x14ac:dyDescent="0.35">
      <c r="A108" s="37" t="s">
        <v>510</v>
      </c>
      <c r="B108" s="62" t="s">
        <v>341</v>
      </c>
      <c r="C108" s="54" t="s">
        <v>920</v>
      </c>
      <c r="D108" s="84">
        <f>+Referanseark!D108+(Referanseark!D108*'P2026 '!$D$1)</f>
        <v>0</v>
      </c>
      <c r="E108" s="84">
        <f>+Referanseark!E108+(Referanseark!E108*'P2026 '!$D$1)</f>
        <v>0</v>
      </c>
      <c r="F108" s="84">
        <f>+Referanseark!F108+(Referanseark!F108*'P2026 '!$D$1)</f>
        <v>0</v>
      </c>
      <c r="G108" s="84">
        <f>+Referanseark!G108+(Referanseark!G108*'P2026 '!$D$1)</f>
        <v>0</v>
      </c>
      <c r="H108" s="84">
        <f>+Referanseark!H108+(Referanseark!H108*'P2026 '!$D$1)</f>
        <v>0</v>
      </c>
      <c r="I108" s="84">
        <f>+Referanseark!I108+(Referanseark!I108*'P2026 '!$D$1)</f>
        <v>0</v>
      </c>
      <c r="J108" s="85"/>
      <c r="K108" s="134">
        <f t="shared" si="6"/>
        <v>0</v>
      </c>
      <c r="L108" s="130">
        <f t="shared" si="7"/>
        <v>0</v>
      </c>
    </row>
    <row r="109" spans="1:12" hidden="1" outlineLevel="1" x14ac:dyDescent="0.35">
      <c r="A109" s="37" t="s">
        <v>511</v>
      </c>
      <c r="B109" s="62" t="s">
        <v>345</v>
      </c>
      <c r="C109" s="54" t="s">
        <v>920</v>
      </c>
      <c r="D109" s="84">
        <f>+Referanseark!D109+(Referanseark!D109*'P2026 '!$D$1)</f>
        <v>0</v>
      </c>
      <c r="E109" s="84">
        <f>+Referanseark!E109+(Referanseark!E109*'P2026 '!$D$1)</f>
        <v>0</v>
      </c>
      <c r="F109" s="84">
        <f>+Referanseark!F109+(Referanseark!F109*'P2026 '!$D$1)</f>
        <v>0</v>
      </c>
      <c r="G109" s="84">
        <f>+Referanseark!G109+(Referanseark!G109*'P2026 '!$D$1)</f>
        <v>0</v>
      </c>
      <c r="H109" s="84">
        <f>+Referanseark!H109+(Referanseark!H109*'P2026 '!$D$1)</f>
        <v>0</v>
      </c>
      <c r="I109" s="84">
        <f>+Referanseark!I109+(Referanseark!I109*'P2026 '!$D$1)</f>
        <v>0</v>
      </c>
      <c r="J109" s="85"/>
      <c r="K109" s="134">
        <f t="shared" si="6"/>
        <v>0</v>
      </c>
      <c r="L109" s="130">
        <f t="shared" si="7"/>
        <v>0</v>
      </c>
    </row>
    <row r="110" spans="1:12" hidden="1" outlineLevel="1" x14ac:dyDescent="0.35">
      <c r="A110" s="37" t="s">
        <v>512</v>
      </c>
      <c r="B110" s="62" t="s">
        <v>347</v>
      </c>
      <c r="C110" s="54" t="s">
        <v>920</v>
      </c>
      <c r="D110" s="84">
        <f>+Referanseark!D110+(Referanseark!D110*'P2026 '!$D$1)</f>
        <v>0</v>
      </c>
      <c r="E110" s="84">
        <f>+Referanseark!E110+(Referanseark!E110*'P2026 '!$D$1)</f>
        <v>0</v>
      </c>
      <c r="F110" s="84">
        <f>+Referanseark!F110+(Referanseark!F110*'P2026 '!$D$1)</f>
        <v>0</v>
      </c>
      <c r="G110" s="84">
        <f>+Referanseark!G110+(Referanseark!G110*'P2026 '!$D$1)</f>
        <v>0</v>
      </c>
      <c r="H110" s="84">
        <f>+Referanseark!H110+(Referanseark!H110*'P2026 '!$D$1)</f>
        <v>0</v>
      </c>
      <c r="I110" s="84">
        <f>+Referanseark!I110+(Referanseark!I110*'P2026 '!$D$1)</f>
        <v>0</v>
      </c>
      <c r="J110" s="85"/>
      <c r="K110" s="134">
        <f t="shared" si="6"/>
        <v>0</v>
      </c>
      <c r="L110" s="130">
        <f t="shared" si="7"/>
        <v>0</v>
      </c>
    </row>
    <row r="111" spans="1:12" hidden="1" outlineLevel="1" x14ac:dyDescent="0.35">
      <c r="A111" s="37" t="s">
        <v>513</v>
      </c>
      <c r="B111" s="62" t="s">
        <v>349</v>
      </c>
      <c r="C111" s="54" t="s">
        <v>920</v>
      </c>
      <c r="D111" s="84">
        <f>+Referanseark!D111+(Referanseark!D111*'P2026 '!$D$1)</f>
        <v>0</v>
      </c>
      <c r="E111" s="84">
        <f>+Referanseark!E111+(Referanseark!E111*'P2026 '!$D$1)</f>
        <v>0</v>
      </c>
      <c r="F111" s="84">
        <f>+Referanseark!F111+(Referanseark!F111*'P2026 '!$D$1)</f>
        <v>0</v>
      </c>
      <c r="G111" s="84">
        <f>+Referanseark!G111+(Referanseark!G111*'P2026 '!$D$1)</f>
        <v>0</v>
      </c>
      <c r="H111" s="84">
        <f>+Referanseark!H111+(Referanseark!H111*'P2026 '!$D$1)</f>
        <v>0</v>
      </c>
      <c r="I111" s="84">
        <f>+Referanseark!I111+(Referanseark!I111*'P2026 '!$D$1)</f>
        <v>0</v>
      </c>
      <c r="J111" s="85"/>
      <c r="K111" s="134">
        <f t="shared" si="6"/>
        <v>0</v>
      </c>
      <c r="L111" s="130">
        <f t="shared" si="7"/>
        <v>0</v>
      </c>
    </row>
    <row r="112" spans="1:12" hidden="1" outlineLevel="1" x14ac:dyDescent="0.35">
      <c r="A112" s="37" t="s">
        <v>514</v>
      </c>
      <c r="B112" s="62" t="s">
        <v>515</v>
      </c>
      <c r="C112" s="54" t="s">
        <v>920</v>
      </c>
      <c r="D112" s="84">
        <f>+Referanseark!D112+(Referanseark!D112*'P2026 '!$D$1)</f>
        <v>0</v>
      </c>
      <c r="E112" s="84">
        <f>+Referanseark!E112+(Referanseark!E112*'P2026 '!$D$1)</f>
        <v>0</v>
      </c>
      <c r="F112" s="84">
        <f>+Referanseark!F112+(Referanseark!F112*'P2026 '!$D$1)</f>
        <v>0</v>
      </c>
      <c r="G112" s="84">
        <f>+Referanseark!G112+(Referanseark!G112*'P2026 '!$D$1)</f>
        <v>0</v>
      </c>
      <c r="H112" s="84">
        <f>+Referanseark!H112+(Referanseark!H112*'P2026 '!$D$1)</f>
        <v>0</v>
      </c>
      <c r="I112" s="84">
        <f>+Referanseark!I112+(Referanseark!I112*'P2026 '!$D$1)</f>
        <v>0</v>
      </c>
      <c r="J112" s="85"/>
      <c r="K112" s="134">
        <f t="shared" si="6"/>
        <v>0</v>
      </c>
      <c r="L112" s="130">
        <f t="shared" si="7"/>
        <v>0</v>
      </c>
    </row>
    <row r="113" spans="1:12" hidden="1" outlineLevel="1" x14ac:dyDescent="0.35">
      <c r="A113" s="37" t="s">
        <v>516</v>
      </c>
      <c r="B113" s="62" t="s">
        <v>517</v>
      </c>
      <c r="C113" s="54" t="s">
        <v>920</v>
      </c>
      <c r="D113" s="84">
        <f>+Referanseark!D113+(Referanseark!D113*'P2026 '!$D$1)</f>
        <v>0</v>
      </c>
      <c r="E113" s="84">
        <f>+Referanseark!E113+(Referanseark!E113*'P2026 '!$D$1)</f>
        <v>0</v>
      </c>
      <c r="F113" s="84">
        <f>+Referanseark!F113+(Referanseark!F113*'P2026 '!$D$1)</f>
        <v>0</v>
      </c>
      <c r="G113" s="84">
        <f>+Referanseark!G113+(Referanseark!G113*'P2026 '!$D$1)</f>
        <v>0</v>
      </c>
      <c r="H113" s="84">
        <f>+Referanseark!H113+(Referanseark!H113*'P2026 '!$D$1)</f>
        <v>0</v>
      </c>
      <c r="I113" s="84">
        <f>+Referanseark!I113+(Referanseark!I113*'P2026 '!$D$1)</f>
        <v>0</v>
      </c>
      <c r="J113" s="85"/>
      <c r="K113" s="134">
        <f t="shared" si="6"/>
        <v>0</v>
      </c>
      <c r="L113" s="130">
        <f t="shared" si="7"/>
        <v>0</v>
      </c>
    </row>
    <row r="114" spans="1:12" hidden="1" outlineLevel="1" x14ac:dyDescent="0.35">
      <c r="A114" s="37" t="s">
        <v>518</v>
      </c>
      <c r="B114" s="62" t="s">
        <v>519</v>
      </c>
      <c r="C114" s="54" t="s">
        <v>920</v>
      </c>
      <c r="D114" s="84">
        <f>+Referanseark!D114+(Referanseark!D114*'P2026 '!$D$1)</f>
        <v>11564.727999999999</v>
      </c>
      <c r="E114" s="84">
        <f>+Referanseark!E114+(Referanseark!E114*'P2026 '!$D$1)</f>
        <v>2511.7568000000001</v>
      </c>
      <c r="F114" s="84">
        <f>+Referanseark!F114+(Referanseark!F114*'P2026 '!$D$1)</f>
        <v>92987.148799999995</v>
      </c>
      <c r="G114" s="84">
        <f>+Referanseark!G114+(Referanseark!G114*'P2026 '!$D$1)</f>
        <v>11591.888000000001</v>
      </c>
      <c r="H114" s="84">
        <f>+Referanseark!H114+(Referanseark!H114*'P2026 '!$D$1)</f>
        <v>198463.552</v>
      </c>
      <c r="I114" s="84">
        <f>+Referanseark!I114+(Referanseark!I114*'P2026 '!$D$1)</f>
        <v>0</v>
      </c>
      <c r="J114" s="85"/>
      <c r="K114" s="134">
        <f t="shared" si="6"/>
        <v>0</v>
      </c>
      <c r="L114" s="130">
        <f t="shared" si="7"/>
        <v>317119.0736</v>
      </c>
    </row>
    <row r="115" spans="1:12" hidden="1" outlineLevel="1" x14ac:dyDescent="0.35">
      <c r="A115" s="37" t="s">
        <v>520</v>
      </c>
      <c r="B115" s="62" t="s">
        <v>521</v>
      </c>
      <c r="C115" s="54" t="s">
        <v>920</v>
      </c>
      <c r="D115" s="84">
        <f>+Referanseark!D115+(Referanseark!D115*'P2026 '!$D$1)</f>
        <v>0</v>
      </c>
      <c r="E115" s="84">
        <f>+Referanseark!E115+(Referanseark!E115*'P2026 '!$D$1)</f>
        <v>0</v>
      </c>
      <c r="F115" s="84">
        <f>+Referanseark!F115+(Referanseark!F115*'P2026 '!$D$1)</f>
        <v>0</v>
      </c>
      <c r="G115" s="84">
        <f>+Referanseark!G115+(Referanseark!G115*'P2026 '!$D$1)</f>
        <v>0</v>
      </c>
      <c r="H115" s="84">
        <f>+Referanseark!H115+(Referanseark!H115*'P2026 '!$D$1)</f>
        <v>0</v>
      </c>
      <c r="I115" s="84">
        <f>+Referanseark!I115+(Referanseark!I115*'P2026 '!$D$1)</f>
        <v>0</v>
      </c>
      <c r="J115" s="85"/>
      <c r="K115" s="134">
        <f t="shared" si="6"/>
        <v>0</v>
      </c>
      <c r="L115" s="130">
        <f t="shared" si="7"/>
        <v>0</v>
      </c>
    </row>
    <row r="116" spans="1:12" hidden="1" outlineLevel="1" x14ac:dyDescent="0.35">
      <c r="A116" s="37" t="s">
        <v>522</v>
      </c>
      <c r="B116" s="62" t="s">
        <v>365</v>
      </c>
      <c r="C116" s="54" t="s">
        <v>920</v>
      </c>
      <c r="D116" s="84">
        <f>+Referanseark!D116+(Referanseark!D116*'P2026 '!$D$1)</f>
        <v>0</v>
      </c>
      <c r="E116" s="84">
        <f>+Referanseark!E116+(Referanseark!E116*'P2026 '!$D$1)</f>
        <v>0</v>
      </c>
      <c r="F116" s="84">
        <f>+Referanseark!F116+(Referanseark!F116*'P2026 '!$D$1)</f>
        <v>92760.091199999995</v>
      </c>
      <c r="G116" s="84">
        <f>+Referanseark!G116+(Referanseark!G116*'P2026 '!$D$1)</f>
        <v>3578.6016</v>
      </c>
      <c r="H116" s="84">
        <f>+Referanseark!H116+(Referanseark!H116*'P2026 '!$D$1)</f>
        <v>0</v>
      </c>
      <c r="I116" s="84">
        <f>+Referanseark!I116+(Referanseark!I116*'P2026 '!$D$1)</f>
        <v>0</v>
      </c>
      <c r="J116" s="85"/>
      <c r="K116" s="134">
        <f t="shared" si="6"/>
        <v>0</v>
      </c>
      <c r="L116" s="130">
        <f t="shared" si="7"/>
        <v>96338.69279999999</v>
      </c>
    </row>
    <row r="117" spans="1:12" hidden="1" outlineLevel="1" x14ac:dyDescent="0.35">
      <c r="A117" s="37" t="s">
        <v>523</v>
      </c>
      <c r="B117" s="62" t="s">
        <v>524</v>
      </c>
      <c r="C117" s="54" t="s">
        <v>920</v>
      </c>
      <c r="D117" s="84">
        <f>+Referanseark!D117+(Referanseark!D117*'P2026 '!$D$1)</f>
        <v>0</v>
      </c>
      <c r="E117" s="84">
        <f>+Referanseark!E117+(Referanseark!E117*'P2026 '!$D$1)</f>
        <v>0</v>
      </c>
      <c r="F117" s="84">
        <f>+Referanseark!F117+(Referanseark!F117*'P2026 '!$D$1)</f>
        <v>0</v>
      </c>
      <c r="G117" s="84">
        <f>+Referanseark!G117+(Referanseark!G117*'P2026 '!$D$1)</f>
        <v>0</v>
      </c>
      <c r="H117" s="84">
        <f>+Referanseark!H117+(Referanseark!H117*'P2026 '!$D$1)</f>
        <v>0</v>
      </c>
      <c r="I117" s="84">
        <f>+Referanseark!I117+(Referanseark!I117*'P2026 '!$D$1)</f>
        <v>0</v>
      </c>
      <c r="J117" s="85"/>
      <c r="K117" s="134">
        <f t="shared" si="6"/>
        <v>0</v>
      </c>
      <c r="L117" s="130">
        <f t="shared" si="7"/>
        <v>0</v>
      </c>
    </row>
    <row r="118" spans="1:12" hidden="1" outlineLevel="1" x14ac:dyDescent="0.35">
      <c r="A118" s="37" t="s">
        <v>525</v>
      </c>
      <c r="B118" s="62" t="s">
        <v>526</v>
      </c>
      <c r="C118" s="54" t="s">
        <v>920</v>
      </c>
      <c r="D118" s="84">
        <f>+Referanseark!D118+(Referanseark!D118*'P2026 '!$D$1)</f>
        <v>0</v>
      </c>
      <c r="E118" s="84">
        <f>+Referanseark!E118+(Referanseark!E118*'P2026 '!$D$1)</f>
        <v>0</v>
      </c>
      <c r="F118" s="84">
        <f>+Referanseark!F118+(Referanseark!F118*'P2026 '!$D$1)</f>
        <v>0</v>
      </c>
      <c r="G118" s="84">
        <f>+Referanseark!G118+(Referanseark!G118*'P2026 '!$D$1)</f>
        <v>0</v>
      </c>
      <c r="H118" s="84">
        <f>+Referanseark!H118+(Referanseark!H118*'P2026 '!$D$1)</f>
        <v>0</v>
      </c>
      <c r="I118" s="84">
        <f>+Referanseark!I118+(Referanseark!I118*'P2026 '!$D$1)</f>
        <v>0</v>
      </c>
      <c r="J118" s="85"/>
      <c r="K118" s="134">
        <f t="shared" si="6"/>
        <v>0</v>
      </c>
      <c r="L118" s="130">
        <f t="shared" si="7"/>
        <v>0</v>
      </c>
    </row>
    <row r="119" spans="1:12" hidden="1" outlineLevel="1" x14ac:dyDescent="0.35">
      <c r="A119" s="37" t="s">
        <v>527</v>
      </c>
      <c r="B119" s="62" t="s">
        <v>528</v>
      </c>
      <c r="C119" s="54" t="s">
        <v>920</v>
      </c>
      <c r="D119" s="84">
        <f>+Referanseark!D119+(Referanseark!D119*'P2026 '!$D$1)</f>
        <v>0</v>
      </c>
      <c r="E119" s="84">
        <f>+Referanseark!E119+(Referanseark!E119*'P2026 '!$D$1)</f>
        <v>0</v>
      </c>
      <c r="F119" s="84">
        <f>+Referanseark!F119+(Referanseark!F119*'P2026 '!$D$1)</f>
        <v>0</v>
      </c>
      <c r="G119" s="84">
        <f>+Referanseark!G119+(Referanseark!G119*'P2026 '!$D$1)</f>
        <v>0</v>
      </c>
      <c r="H119" s="84">
        <f>+Referanseark!H119+(Referanseark!H119*'P2026 '!$D$1)</f>
        <v>0</v>
      </c>
      <c r="I119" s="84">
        <f>+Referanseark!I119+(Referanseark!I119*'P2026 '!$D$1)</f>
        <v>0</v>
      </c>
      <c r="J119" s="85"/>
      <c r="K119" s="134">
        <f t="shared" si="6"/>
        <v>0</v>
      </c>
      <c r="L119" s="130">
        <f t="shared" si="7"/>
        <v>0</v>
      </c>
    </row>
    <row r="120" spans="1:12" hidden="1" outlineLevel="1" x14ac:dyDescent="0.35">
      <c r="A120" s="37" t="s">
        <v>529</v>
      </c>
      <c r="B120" s="62" t="s">
        <v>530</v>
      </c>
      <c r="C120" s="54" t="s">
        <v>920</v>
      </c>
      <c r="D120" s="84">
        <f>+Referanseark!D120+(Referanseark!D120*'P2026 '!$D$1)</f>
        <v>0</v>
      </c>
      <c r="E120" s="84">
        <f>+Referanseark!E120+(Referanseark!E120*'P2026 '!$D$1)</f>
        <v>0</v>
      </c>
      <c r="F120" s="84">
        <f>+Referanseark!F120+(Referanseark!F120*'P2026 '!$D$1)</f>
        <v>0</v>
      </c>
      <c r="G120" s="84">
        <f>+Referanseark!G120+(Referanseark!G120*'P2026 '!$D$1)</f>
        <v>1.0864</v>
      </c>
      <c r="H120" s="84">
        <f>+Referanseark!H120+(Referanseark!H120*'P2026 '!$D$1)</f>
        <v>0</v>
      </c>
      <c r="I120" s="84">
        <f>+Referanseark!I120+(Referanseark!I120*'P2026 '!$D$1)</f>
        <v>0</v>
      </c>
      <c r="J120" s="85"/>
      <c r="K120" s="134">
        <f t="shared" si="6"/>
        <v>0</v>
      </c>
      <c r="L120" s="130">
        <f t="shared" si="7"/>
        <v>1.0864</v>
      </c>
    </row>
    <row r="121" spans="1:12" hidden="1" outlineLevel="1" x14ac:dyDescent="0.35">
      <c r="A121" s="37" t="s">
        <v>531</v>
      </c>
      <c r="B121" s="62" t="s">
        <v>532</v>
      </c>
      <c r="C121" s="54" t="s">
        <v>920</v>
      </c>
      <c r="D121" s="84">
        <f>+Referanseark!D121+(Referanseark!D121*'P2026 '!$D$1)</f>
        <v>0</v>
      </c>
      <c r="E121" s="84">
        <f>+Referanseark!E121+(Referanseark!E121*'P2026 '!$D$1)</f>
        <v>0</v>
      </c>
      <c r="F121" s="84">
        <f>+Referanseark!F121+(Referanseark!F121*'P2026 '!$D$1)</f>
        <v>0</v>
      </c>
      <c r="G121" s="84">
        <f>+Referanseark!G121+(Referanseark!G121*'P2026 '!$D$1)</f>
        <v>0</v>
      </c>
      <c r="H121" s="84">
        <f>+Referanseark!H121+(Referanseark!H121*'P2026 '!$D$1)</f>
        <v>0</v>
      </c>
      <c r="I121" s="84">
        <f>+Referanseark!I121+(Referanseark!I121*'P2026 '!$D$1)</f>
        <v>0</v>
      </c>
      <c r="J121" s="85"/>
      <c r="K121" s="134">
        <f t="shared" si="6"/>
        <v>0</v>
      </c>
      <c r="L121" s="130">
        <f t="shared" si="7"/>
        <v>0</v>
      </c>
    </row>
    <row r="122" spans="1:12" hidden="1" outlineLevel="1" x14ac:dyDescent="0.35">
      <c r="A122" s="37" t="s">
        <v>533</v>
      </c>
      <c r="B122" s="62" t="s">
        <v>534</v>
      </c>
      <c r="C122" s="54" t="s">
        <v>920</v>
      </c>
      <c r="D122" s="84">
        <f>+Referanseark!D122+(Referanseark!D122*'P2026 '!$D$1)</f>
        <v>0</v>
      </c>
      <c r="E122" s="84">
        <f>+Referanseark!E122+(Referanseark!E122*'P2026 '!$D$1)</f>
        <v>0</v>
      </c>
      <c r="F122" s="84">
        <f>+Referanseark!F122+(Referanseark!F122*'P2026 '!$D$1)</f>
        <v>0</v>
      </c>
      <c r="G122" s="84">
        <f>+Referanseark!G122+(Referanseark!G122*'P2026 '!$D$1)</f>
        <v>523.64480000000003</v>
      </c>
      <c r="H122" s="84">
        <f>+Referanseark!H122+(Referanseark!H122*'P2026 '!$D$1)</f>
        <v>0</v>
      </c>
      <c r="I122" s="84">
        <f>+Referanseark!I122+(Referanseark!I122*'P2026 '!$D$1)</f>
        <v>0</v>
      </c>
      <c r="J122" s="85"/>
      <c r="K122" s="134">
        <f t="shared" si="6"/>
        <v>0</v>
      </c>
      <c r="L122" s="130">
        <f t="shared" si="7"/>
        <v>523.64480000000003</v>
      </c>
    </row>
    <row r="123" spans="1:12" hidden="1" outlineLevel="1" x14ac:dyDescent="0.35">
      <c r="A123" s="37" t="s">
        <v>535</v>
      </c>
      <c r="B123" s="62" t="s">
        <v>536</v>
      </c>
      <c r="C123" s="54" t="s">
        <v>920</v>
      </c>
      <c r="D123" s="84">
        <f>+Referanseark!D123+(Referanseark!D123*'P2026 '!$D$1)</f>
        <v>43832.980799999998</v>
      </c>
      <c r="E123" s="84">
        <f>+Referanseark!E123+(Referanseark!E123*'P2026 '!$D$1)</f>
        <v>68948.376000000004</v>
      </c>
      <c r="F123" s="84">
        <f>+Referanseark!F123+(Referanseark!F123*'P2026 '!$D$1)</f>
        <v>336001.79200000002</v>
      </c>
      <c r="G123" s="84">
        <f>+Referanseark!G123+(Referanseark!G123*'P2026 '!$D$1)</f>
        <v>69521.995200000005</v>
      </c>
      <c r="H123" s="84">
        <f>+Referanseark!H123+(Referanseark!H123*'P2026 '!$D$1)</f>
        <v>0</v>
      </c>
      <c r="I123" s="84">
        <f>+Referanseark!I123+(Referanseark!I123*'P2026 '!$D$1)</f>
        <v>93568.372799999997</v>
      </c>
      <c r="J123" s="85"/>
      <c r="K123" s="134">
        <f t="shared" si="6"/>
        <v>93568.372799999997</v>
      </c>
      <c r="L123" s="130">
        <f>K123+D123+E123+F123+G123+H123</f>
        <v>611873.5168000001</v>
      </c>
    </row>
    <row r="124" spans="1:12" hidden="1" outlineLevel="1" x14ac:dyDescent="0.35">
      <c r="A124" s="37" t="s">
        <v>537</v>
      </c>
      <c r="B124" s="62" t="s">
        <v>538</v>
      </c>
      <c r="C124" s="54" t="s">
        <v>920</v>
      </c>
      <c r="D124" s="84">
        <f>+Referanseark!D124+(Referanseark!D124*'P2026 '!$D$1)</f>
        <v>0</v>
      </c>
      <c r="E124" s="84">
        <f>+Referanseark!E124+(Referanseark!E124*'P2026 '!$D$1)</f>
        <v>105751.26240000001</v>
      </c>
      <c r="F124" s="84">
        <f>+Referanseark!F124+(Referanseark!F124*'P2026 '!$D$1)</f>
        <v>0</v>
      </c>
      <c r="G124" s="84">
        <f>+Referanseark!G124+(Referanseark!G124*'P2026 '!$D$1)</f>
        <v>0</v>
      </c>
      <c r="H124" s="84">
        <f>+Referanseark!H124+(Referanseark!H124*'P2026 '!$D$1)</f>
        <v>0</v>
      </c>
      <c r="I124" s="84">
        <f>+Referanseark!I124+(Referanseark!I124*'P2026 '!$D$1)</f>
        <v>0</v>
      </c>
      <c r="J124" s="85"/>
      <c r="K124" s="134">
        <f t="shared" si="6"/>
        <v>0</v>
      </c>
      <c r="L124" s="130">
        <f t="shared" si="7"/>
        <v>105751.26240000001</v>
      </c>
    </row>
    <row r="125" spans="1:12" hidden="1" outlineLevel="1" x14ac:dyDescent="0.35">
      <c r="A125" s="37" t="s">
        <v>539</v>
      </c>
      <c r="B125" s="62" t="s">
        <v>540</v>
      </c>
      <c r="C125" s="54" t="s">
        <v>920</v>
      </c>
      <c r="D125" s="84">
        <f>+Referanseark!D125+(Referanseark!D125*'P2026 '!$D$1)</f>
        <v>0</v>
      </c>
      <c r="E125" s="84">
        <f>+Referanseark!E125+(Referanseark!E125*'P2026 '!$D$1)</f>
        <v>7358.1872000000003</v>
      </c>
      <c r="F125" s="84">
        <f>+Referanseark!F125+(Referanseark!F125*'P2026 '!$D$1)</f>
        <v>0</v>
      </c>
      <c r="G125" s="84">
        <f>+Referanseark!G125+(Referanseark!G125*'P2026 '!$D$1)</f>
        <v>0</v>
      </c>
      <c r="H125" s="84">
        <f>+Referanseark!H125+(Referanseark!H125*'P2026 '!$D$1)</f>
        <v>0</v>
      </c>
      <c r="I125" s="84">
        <f>+Referanseark!I125+(Referanseark!I125*'P2026 '!$D$1)</f>
        <v>0</v>
      </c>
      <c r="J125" s="85"/>
      <c r="K125" s="134">
        <f t="shared" si="6"/>
        <v>0</v>
      </c>
      <c r="L125" s="130">
        <f t="shared" si="7"/>
        <v>7358.1872000000003</v>
      </c>
    </row>
    <row r="126" spans="1:12" hidden="1" outlineLevel="1" x14ac:dyDescent="0.35">
      <c r="A126" s="37" t="s">
        <v>541</v>
      </c>
      <c r="B126" s="62" t="s">
        <v>542</v>
      </c>
      <c r="C126" s="54" t="s">
        <v>920</v>
      </c>
      <c r="D126" s="84">
        <f>+Referanseark!D126+(Referanseark!D126*'P2026 '!$D$1)</f>
        <v>0</v>
      </c>
      <c r="E126" s="84">
        <f>+Referanseark!E126+(Referanseark!E126*'P2026 '!$D$1)</f>
        <v>0</v>
      </c>
      <c r="F126" s="84">
        <f>+Referanseark!F126+(Referanseark!F126*'P2026 '!$D$1)</f>
        <v>0</v>
      </c>
      <c r="G126" s="84">
        <f>+Referanseark!G126+(Referanseark!G126*'P2026 '!$D$1)</f>
        <v>23.9008</v>
      </c>
      <c r="H126" s="84">
        <f>+Referanseark!H126+(Referanseark!H126*'P2026 '!$D$1)</f>
        <v>0</v>
      </c>
      <c r="I126" s="84">
        <f>+Referanseark!I126+(Referanseark!I126*'P2026 '!$D$1)</f>
        <v>0</v>
      </c>
      <c r="J126" s="85"/>
      <c r="K126" s="134">
        <f t="shared" si="6"/>
        <v>0</v>
      </c>
      <c r="L126" s="130">
        <f t="shared" si="7"/>
        <v>23.9008</v>
      </c>
    </row>
    <row r="127" spans="1:12" hidden="1" outlineLevel="1" x14ac:dyDescent="0.35">
      <c r="A127" s="37" t="s">
        <v>543</v>
      </c>
      <c r="B127" s="62" t="s">
        <v>544</v>
      </c>
      <c r="C127" s="54" t="s">
        <v>920</v>
      </c>
      <c r="D127" s="84">
        <f>+Referanseark!D127+(Referanseark!D127*'P2026 '!$D$1)</f>
        <v>0</v>
      </c>
      <c r="E127" s="84">
        <f>+Referanseark!E127+(Referanseark!E127*'P2026 '!$D$1)</f>
        <v>0</v>
      </c>
      <c r="F127" s="84">
        <f>+Referanseark!F127+(Referanseark!F127*'P2026 '!$D$1)</f>
        <v>196083.24960000001</v>
      </c>
      <c r="G127" s="84">
        <f>+Referanseark!G127+(Referanseark!G127*'P2026 '!$D$1)</f>
        <v>165599.95199999999</v>
      </c>
      <c r="H127" s="84">
        <f>+Referanseark!H127+(Referanseark!H127*'P2026 '!$D$1)</f>
        <v>358284.9424</v>
      </c>
      <c r="I127" s="84">
        <f>+Referanseark!I127+(Referanseark!I127*'P2026 '!$D$1)</f>
        <v>456618.26559999998</v>
      </c>
      <c r="J127" s="85"/>
      <c r="K127" s="134">
        <f t="shared" si="6"/>
        <v>456618.26559999998</v>
      </c>
      <c r="L127" s="130">
        <f t="shared" si="7"/>
        <v>1176586.4096000001</v>
      </c>
    </row>
    <row r="128" spans="1:12" hidden="1" outlineLevel="1" x14ac:dyDescent="0.35">
      <c r="A128" s="37" t="s">
        <v>545</v>
      </c>
      <c r="B128" s="77" t="s">
        <v>546</v>
      </c>
      <c r="C128" s="54" t="s">
        <v>920</v>
      </c>
      <c r="D128" s="84">
        <f>+Referanseark!D128+(Referanseark!D128*'P2026 '!$D$1)</f>
        <v>0</v>
      </c>
      <c r="E128" s="84">
        <f>+Referanseark!E128+(Referanseark!E128*'P2026 '!$D$1)</f>
        <v>13724.4912</v>
      </c>
      <c r="F128" s="84">
        <f>+Referanseark!F128+(Referanseark!F128*'P2026 '!$D$1)</f>
        <v>61292.515200000002</v>
      </c>
      <c r="G128" s="84">
        <f>+Referanseark!G128+(Referanseark!G128*'P2026 '!$D$1)</f>
        <v>0</v>
      </c>
      <c r="H128" s="84">
        <f>+Referanseark!H128+(Referanseark!H128*'P2026 '!$D$1)</f>
        <v>0</v>
      </c>
      <c r="I128" s="84">
        <f>+Referanseark!I128+(Referanseark!I128*'P2026 '!$D$1)</f>
        <v>0</v>
      </c>
      <c r="J128" s="85"/>
      <c r="K128" s="134">
        <f t="shared" si="6"/>
        <v>0</v>
      </c>
      <c r="L128" s="130">
        <f t="shared" si="7"/>
        <v>75017.006399999998</v>
      </c>
    </row>
    <row r="129" spans="1:12" hidden="1" outlineLevel="1" x14ac:dyDescent="0.35">
      <c r="A129" s="37" t="s">
        <v>547</v>
      </c>
      <c r="B129" s="77" t="s">
        <v>548</v>
      </c>
      <c r="C129" s="54" t="s">
        <v>920</v>
      </c>
      <c r="D129" s="84">
        <f>+Referanseark!D129+(Referanseark!D129*'P2026 '!$D$1)</f>
        <v>0</v>
      </c>
      <c r="E129" s="84">
        <f>+Referanseark!E129+(Referanseark!E129*'P2026 '!$D$1)</f>
        <v>20221.163199999999</v>
      </c>
      <c r="F129" s="84">
        <f>+Referanseark!F129+(Referanseark!F129*'P2026 '!$D$1)</f>
        <v>0</v>
      </c>
      <c r="G129" s="84">
        <f>+Referanseark!G129+(Referanseark!G129*'P2026 '!$D$1)</f>
        <v>0</v>
      </c>
      <c r="H129" s="84">
        <f>+Referanseark!H129+(Referanseark!H129*'P2026 '!$D$1)</f>
        <v>0</v>
      </c>
      <c r="I129" s="84">
        <f>+Referanseark!I129+(Referanseark!I129*'P2026 '!$D$1)</f>
        <v>15071.627200000001</v>
      </c>
      <c r="J129" s="85"/>
      <c r="K129" s="134">
        <f t="shared" si="6"/>
        <v>15071.627200000001</v>
      </c>
      <c r="L129" s="130">
        <f t="shared" si="7"/>
        <v>35292.790399999998</v>
      </c>
    </row>
    <row r="130" spans="1:12" hidden="1" outlineLevel="1" x14ac:dyDescent="0.35">
      <c r="A130" s="37" t="s">
        <v>549</v>
      </c>
      <c r="B130" s="62" t="s">
        <v>550</v>
      </c>
      <c r="C130" s="54" t="s">
        <v>920</v>
      </c>
      <c r="D130" s="84">
        <f>+Referanseark!D130+(Referanseark!D130*'P2026 '!$D$1)</f>
        <v>0</v>
      </c>
      <c r="E130" s="84">
        <f>+Referanseark!E130+(Referanseark!E130*'P2026 '!$D$1)</f>
        <v>21799.702400000002</v>
      </c>
      <c r="F130" s="84">
        <f>+Referanseark!F130+(Referanseark!F130*'P2026 '!$D$1)</f>
        <v>0</v>
      </c>
      <c r="G130" s="84">
        <f>+Referanseark!G130+(Referanseark!G130*'P2026 '!$D$1)</f>
        <v>117827.6848</v>
      </c>
      <c r="H130" s="84">
        <f>+Referanseark!H130+(Referanseark!H130*'P2026 '!$D$1)</f>
        <v>0</v>
      </c>
      <c r="I130" s="84">
        <f>+Referanseark!I130+(Referanseark!I130*'P2026 '!$D$1)</f>
        <v>936.47680000000003</v>
      </c>
      <c r="J130" s="85"/>
      <c r="K130" s="134">
        <f t="shared" si="6"/>
        <v>936.47680000000003</v>
      </c>
      <c r="L130" s="130">
        <f t="shared" si="7"/>
        <v>140563.864</v>
      </c>
    </row>
    <row r="131" spans="1:12" hidden="1" outlineLevel="1" x14ac:dyDescent="0.35">
      <c r="A131" s="37" t="s">
        <v>551</v>
      </c>
      <c r="B131" s="62" t="s">
        <v>552</v>
      </c>
      <c r="C131" s="54" t="s">
        <v>920</v>
      </c>
      <c r="D131" s="84">
        <f>+Referanseark!D131+(Referanseark!D131*'P2026 '!$D$1)</f>
        <v>0</v>
      </c>
      <c r="E131" s="84">
        <f>+Referanseark!E131+(Referanseark!E131*'P2026 '!$D$1)</f>
        <v>0</v>
      </c>
      <c r="F131" s="84">
        <f>+Referanseark!F131+(Referanseark!F131*'P2026 '!$D$1)</f>
        <v>0</v>
      </c>
      <c r="G131" s="84">
        <f>+Referanseark!G131+(Referanseark!G131*'P2026 '!$D$1)</f>
        <v>0</v>
      </c>
      <c r="H131" s="84">
        <f>+Referanseark!H131+(Referanseark!H131*'P2026 '!$D$1)</f>
        <v>0</v>
      </c>
      <c r="I131" s="84">
        <f>+Referanseark!I131+(Referanseark!I131*'P2026 '!$D$1)</f>
        <v>0</v>
      </c>
      <c r="J131" s="85"/>
      <c r="K131" s="134">
        <f t="shared" si="6"/>
        <v>0</v>
      </c>
      <c r="L131" s="130">
        <f t="shared" si="7"/>
        <v>0</v>
      </c>
    </row>
    <row r="132" spans="1:12" hidden="1" outlineLevel="1" x14ac:dyDescent="0.35">
      <c r="A132" s="37" t="s">
        <v>553</v>
      </c>
      <c r="B132" s="62" t="s">
        <v>554</v>
      </c>
      <c r="C132" s="54" t="s">
        <v>920</v>
      </c>
      <c r="D132" s="84">
        <f>+Referanseark!D132+(Referanseark!D132*'P2026 '!$D$1)</f>
        <v>0</v>
      </c>
      <c r="E132" s="84">
        <f>+Referanseark!E132+(Referanseark!E132*'P2026 '!$D$1)</f>
        <v>0</v>
      </c>
      <c r="F132" s="84">
        <f>+Referanseark!F132+(Referanseark!F132*'P2026 '!$D$1)</f>
        <v>0</v>
      </c>
      <c r="G132" s="84">
        <f>+Referanseark!G132+(Referanseark!G132*'P2026 '!$D$1)</f>
        <v>0</v>
      </c>
      <c r="H132" s="84">
        <f>+Referanseark!H132+(Referanseark!H132*'P2026 '!$D$1)</f>
        <v>0</v>
      </c>
      <c r="I132" s="84">
        <f>+Referanseark!I132+(Referanseark!I132*'P2026 '!$D$1)</f>
        <v>0</v>
      </c>
      <c r="J132" s="85"/>
      <c r="K132" s="134">
        <f t="shared" si="6"/>
        <v>0</v>
      </c>
      <c r="L132" s="130">
        <f t="shared" si="7"/>
        <v>0</v>
      </c>
    </row>
    <row r="133" spans="1:12" hidden="1" outlineLevel="1" x14ac:dyDescent="0.35">
      <c r="A133" s="37" t="s">
        <v>555</v>
      </c>
      <c r="B133" s="62" t="s">
        <v>556</v>
      </c>
      <c r="C133" s="54" t="s">
        <v>920</v>
      </c>
      <c r="D133" s="84">
        <f>+Referanseark!D133+(Referanseark!D133*'P2026 '!$D$1)</f>
        <v>0</v>
      </c>
      <c r="E133" s="84">
        <f>+Referanseark!E133+(Referanseark!E133*'P2026 '!$D$1)</f>
        <v>0</v>
      </c>
      <c r="F133" s="84">
        <f>+Referanseark!F133+(Referanseark!F133*'P2026 '!$D$1)</f>
        <v>0</v>
      </c>
      <c r="G133" s="84">
        <f>+Referanseark!G133+(Referanseark!G133*'P2026 '!$D$1)</f>
        <v>0</v>
      </c>
      <c r="H133" s="84">
        <f>+Referanseark!H133+(Referanseark!H133*'P2026 '!$D$1)</f>
        <v>0</v>
      </c>
      <c r="I133" s="84">
        <f>+Referanseark!I133+(Referanseark!I133*'P2026 '!$D$1)</f>
        <v>0</v>
      </c>
      <c r="J133" s="85"/>
      <c r="K133" s="134">
        <f t="shared" si="6"/>
        <v>0</v>
      </c>
      <c r="L133" s="130">
        <f t="shared" si="7"/>
        <v>0</v>
      </c>
    </row>
    <row r="134" spans="1:12" hidden="1" outlineLevel="1" x14ac:dyDescent="0.35">
      <c r="A134" s="37" t="s">
        <v>557</v>
      </c>
      <c r="B134" s="62" t="s">
        <v>558</v>
      </c>
      <c r="C134" s="54" t="s">
        <v>920</v>
      </c>
      <c r="D134" s="84">
        <f>+Referanseark!D134+(Referanseark!D134*'P2026 '!$D$1)</f>
        <v>0</v>
      </c>
      <c r="E134" s="84">
        <f>+Referanseark!E134+(Referanseark!E134*'P2026 '!$D$1)</f>
        <v>0</v>
      </c>
      <c r="F134" s="84">
        <f>+Referanseark!F134+(Referanseark!F134*'P2026 '!$D$1)</f>
        <v>0</v>
      </c>
      <c r="G134" s="84">
        <f>+Referanseark!G134+(Referanseark!G134*'P2026 '!$D$1)</f>
        <v>0</v>
      </c>
      <c r="H134" s="84">
        <f>+Referanseark!H134+(Referanseark!H134*'P2026 '!$D$1)</f>
        <v>0</v>
      </c>
      <c r="I134" s="84">
        <f>+Referanseark!I134+(Referanseark!I134*'P2026 '!$D$1)</f>
        <v>0</v>
      </c>
      <c r="J134" s="85"/>
      <c r="K134" s="134">
        <f t="shared" si="6"/>
        <v>0</v>
      </c>
      <c r="L134" s="130">
        <f t="shared" si="7"/>
        <v>0</v>
      </c>
    </row>
    <row r="135" spans="1:12" hidden="1" outlineLevel="1" x14ac:dyDescent="0.35">
      <c r="A135" s="37" t="s">
        <v>559</v>
      </c>
      <c r="B135" s="62" t="s">
        <v>560</v>
      </c>
      <c r="C135" s="54" t="s">
        <v>920</v>
      </c>
      <c r="D135" s="84">
        <f>+Referanseark!D135+(Referanseark!D135*'P2026 '!$D$1)</f>
        <v>0</v>
      </c>
      <c r="E135" s="84">
        <f>+Referanseark!E135+(Referanseark!E135*'P2026 '!$D$1)</f>
        <v>0</v>
      </c>
      <c r="F135" s="84">
        <f>+Referanseark!F135+(Referanseark!F135*'P2026 '!$D$1)</f>
        <v>0</v>
      </c>
      <c r="G135" s="84">
        <f>+Referanseark!G135+(Referanseark!G135*'P2026 '!$D$1)</f>
        <v>0</v>
      </c>
      <c r="H135" s="84">
        <f>+Referanseark!H135+(Referanseark!H135*'P2026 '!$D$1)</f>
        <v>0</v>
      </c>
      <c r="I135" s="84">
        <f>+Referanseark!I135+(Referanseark!I135*'P2026 '!$D$1)</f>
        <v>0</v>
      </c>
      <c r="J135" s="85"/>
      <c r="K135" s="134">
        <f t="shared" si="6"/>
        <v>0</v>
      </c>
      <c r="L135" s="130">
        <f t="shared" si="7"/>
        <v>0</v>
      </c>
    </row>
    <row r="136" spans="1:12" hidden="1" outlineLevel="1" x14ac:dyDescent="0.35">
      <c r="A136" s="37" t="s">
        <v>561</v>
      </c>
      <c r="B136" s="62" t="s">
        <v>562</v>
      </c>
      <c r="C136" s="54" t="s">
        <v>920</v>
      </c>
      <c r="D136" s="84">
        <f>+Referanseark!D136+(Referanseark!D136*'P2026 '!$D$1)</f>
        <v>0</v>
      </c>
      <c r="E136" s="84">
        <f>+Referanseark!E136+(Referanseark!E136*'P2026 '!$D$1)</f>
        <v>0</v>
      </c>
      <c r="F136" s="84">
        <f>+Referanseark!F136+(Referanseark!F136*'P2026 '!$D$1)</f>
        <v>0</v>
      </c>
      <c r="G136" s="84">
        <f>+Referanseark!G136+(Referanseark!G136*'P2026 '!$D$1)</f>
        <v>0</v>
      </c>
      <c r="H136" s="84">
        <f>+Referanseark!H136+(Referanseark!H136*'P2026 '!$D$1)</f>
        <v>0</v>
      </c>
      <c r="I136" s="84">
        <f>+Referanseark!I136+(Referanseark!I136*'P2026 '!$D$1)</f>
        <v>0</v>
      </c>
      <c r="J136" s="85"/>
      <c r="K136" s="134">
        <f t="shared" si="6"/>
        <v>0</v>
      </c>
      <c r="L136" s="130">
        <f t="shared" si="7"/>
        <v>0</v>
      </c>
    </row>
    <row r="137" spans="1:12" hidden="1" outlineLevel="1" x14ac:dyDescent="0.35">
      <c r="A137" s="37" t="s">
        <v>563</v>
      </c>
      <c r="B137" s="62" t="s">
        <v>564</v>
      </c>
      <c r="C137" s="54" t="s">
        <v>920</v>
      </c>
      <c r="D137" s="84">
        <f>+Referanseark!D137+(Referanseark!D137*'P2026 '!$D$1)</f>
        <v>0</v>
      </c>
      <c r="E137" s="84">
        <f>+Referanseark!E137+(Referanseark!E137*'P2026 '!$D$1)</f>
        <v>0</v>
      </c>
      <c r="F137" s="84">
        <f>+Referanseark!F137+(Referanseark!F137*'P2026 '!$D$1)</f>
        <v>0</v>
      </c>
      <c r="G137" s="84">
        <f>+Referanseark!G137+(Referanseark!G137*'P2026 '!$D$1)</f>
        <v>0</v>
      </c>
      <c r="H137" s="84">
        <f>+Referanseark!H137+(Referanseark!H137*'P2026 '!$D$1)</f>
        <v>0</v>
      </c>
      <c r="I137" s="84">
        <f>+Referanseark!I137+(Referanseark!I137*'P2026 '!$D$1)</f>
        <v>0</v>
      </c>
      <c r="J137" s="85"/>
      <c r="K137" s="134">
        <f t="shared" ref="K137:K201" si="14">I137+J137</f>
        <v>0</v>
      </c>
      <c r="L137" s="130">
        <f t="shared" ref="L137:L201" si="15">K137+D137+E137+F137+G137+H137</f>
        <v>0</v>
      </c>
    </row>
    <row r="138" spans="1:12" hidden="1" outlineLevel="1" x14ac:dyDescent="0.35">
      <c r="A138" s="37" t="s">
        <v>565</v>
      </c>
      <c r="B138" s="62" t="s">
        <v>566</v>
      </c>
      <c r="C138" s="54" t="s">
        <v>920</v>
      </c>
      <c r="D138" s="84">
        <f>+Referanseark!D138+(Referanseark!D138*'P2026 '!$D$1)</f>
        <v>0</v>
      </c>
      <c r="E138" s="84">
        <f>+Referanseark!E138+(Referanseark!E138*'P2026 '!$D$1)</f>
        <v>0</v>
      </c>
      <c r="F138" s="84">
        <f>+Referanseark!F138+(Referanseark!F138*'P2026 '!$D$1)</f>
        <v>0</v>
      </c>
      <c r="G138" s="84">
        <f>+Referanseark!G138+(Referanseark!G138*'P2026 '!$D$1)</f>
        <v>0</v>
      </c>
      <c r="H138" s="84">
        <f>+Referanseark!H138+(Referanseark!H138*'P2026 '!$D$1)</f>
        <v>0</v>
      </c>
      <c r="I138" s="84">
        <f>+Referanseark!I138+(Referanseark!I138*'P2026 '!$D$1)</f>
        <v>0</v>
      </c>
      <c r="J138" s="85"/>
      <c r="K138" s="134">
        <f t="shared" si="14"/>
        <v>0</v>
      </c>
      <c r="L138" s="130">
        <f t="shared" si="15"/>
        <v>0</v>
      </c>
    </row>
    <row r="139" spans="1:12" hidden="1" outlineLevel="1" x14ac:dyDescent="0.35">
      <c r="A139" s="37" t="s">
        <v>567</v>
      </c>
      <c r="B139" s="62" t="s">
        <v>923</v>
      </c>
      <c r="C139" s="54" t="s">
        <v>920</v>
      </c>
      <c r="D139" s="84">
        <f>+Referanseark!D139+(Referanseark!D139*'P2026 '!$D$1)</f>
        <v>0</v>
      </c>
      <c r="E139" s="84">
        <f>+Referanseark!E139+(Referanseark!E139*'P2026 '!$D$1)</f>
        <v>0</v>
      </c>
      <c r="F139" s="84">
        <f>+Referanseark!F139+(Referanseark!F139*'P2026 '!$D$1)</f>
        <v>0</v>
      </c>
      <c r="G139" s="84">
        <f>+Referanseark!G139+(Referanseark!G139*'P2026 '!$D$1)</f>
        <v>0</v>
      </c>
      <c r="H139" s="84">
        <f>+Referanseark!H139+(Referanseark!H139*'P2026 '!$D$1)</f>
        <v>0</v>
      </c>
      <c r="I139" s="84">
        <f>+Referanseark!I139+(Referanseark!I139*'P2026 '!$D$1)</f>
        <v>0</v>
      </c>
      <c r="J139" s="85"/>
      <c r="K139" s="134">
        <f t="shared" si="14"/>
        <v>0</v>
      </c>
      <c r="L139" s="130">
        <f t="shared" si="15"/>
        <v>0</v>
      </c>
    </row>
    <row r="140" spans="1:12" hidden="1" outlineLevel="1" x14ac:dyDescent="0.35">
      <c r="A140" s="37" t="s">
        <v>568</v>
      </c>
      <c r="B140" s="62" t="s">
        <v>569</v>
      </c>
      <c r="C140" s="54" t="s">
        <v>920</v>
      </c>
      <c r="D140" s="84">
        <f>+Referanseark!D140+(Referanseark!D140*'P2026 '!$D$1)</f>
        <v>0</v>
      </c>
      <c r="E140" s="84">
        <f>+Referanseark!E140+(Referanseark!E140*'P2026 '!$D$1)</f>
        <v>0</v>
      </c>
      <c r="F140" s="84">
        <f>+Referanseark!F140+(Referanseark!F140*'P2026 '!$D$1)</f>
        <v>0</v>
      </c>
      <c r="G140" s="84">
        <f>+Referanseark!G140+(Referanseark!G140*'P2026 '!$D$1)</f>
        <v>0</v>
      </c>
      <c r="H140" s="84">
        <f>+Referanseark!H140+(Referanseark!H140*'P2026 '!$D$1)</f>
        <v>0</v>
      </c>
      <c r="I140" s="84">
        <f>+Referanseark!I140+(Referanseark!I140*'P2026 '!$D$1)</f>
        <v>0</v>
      </c>
      <c r="J140" s="85"/>
      <c r="K140" s="134">
        <f t="shared" si="14"/>
        <v>0</v>
      </c>
      <c r="L140" s="130">
        <f t="shared" si="15"/>
        <v>0</v>
      </c>
    </row>
    <row r="141" spans="1:12" hidden="1" outlineLevel="1" x14ac:dyDescent="0.35">
      <c r="A141" s="37" t="s">
        <v>570</v>
      </c>
      <c r="B141" s="62" t="s">
        <v>571</v>
      </c>
      <c r="C141" s="54" t="s">
        <v>920</v>
      </c>
      <c r="D141" s="84">
        <f>+Referanseark!D141+(Referanseark!D141*'P2026 '!$D$1)</f>
        <v>0</v>
      </c>
      <c r="E141" s="84">
        <f>+Referanseark!E141+(Referanseark!E141*'P2026 '!$D$1)</f>
        <v>0</v>
      </c>
      <c r="F141" s="84">
        <f>+Referanseark!F141+(Referanseark!F141*'P2026 '!$D$1)</f>
        <v>0</v>
      </c>
      <c r="G141" s="84">
        <f>+Referanseark!G141+(Referanseark!G141*'P2026 '!$D$1)</f>
        <v>0</v>
      </c>
      <c r="H141" s="84">
        <f>+Referanseark!H141+(Referanseark!H141*'P2026 '!$D$1)</f>
        <v>0</v>
      </c>
      <c r="I141" s="84">
        <f>+Referanseark!I141+(Referanseark!I141*'P2026 '!$D$1)</f>
        <v>0</v>
      </c>
      <c r="J141" s="85"/>
      <c r="K141" s="134">
        <f t="shared" si="14"/>
        <v>0</v>
      </c>
      <c r="L141" s="130">
        <f t="shared" si="15"/>
        <v>0</v>
      </c>
    </row>
    <row r="142" spans="1:12" hidden="1" outlineLevel="1" x14ac:dyDescent="0.35">
      <c r="A142" s="37" t="s">
        <v>572</v>
      </c>
      <c r="B142" s="62" t="s">
        <v>573</v>
      </c>
      <c r="C142" s="54" t="s">
        <v>920</v>
      </c>
      <c r="D142" s="84">
        <f>+Referanseark!D142+(Referanseark!D142*'P2026 '!$D$1)</f>
        <v>0</v>
      </c>
      <c r="E142" s="84">
        <f>+Referanseark!E142+(Referanseark!E142*'P2026 '!$D$1)</f>
        <v>0</v>
      </c>
      <c r="F142" s="84">
        <f>+Referanseark!F142+(Referanseark!F142*'P2026 '!$D$1)</f>
        <v>0</v>
      </c>
      <c r="G142" s="84">
        <f>+Referanseark!G142+(Referanseark!G142*'P2026 '!$D$1)</f>
        <v>0</v>
      </c>
      <c r="H142" s="84">
        <f>+Referanseark!H142+(Referanseark!H142*'P2026 '!$D$1)</f>
        <v>0</v>
      </c>
      <c r="I142" s="84">
        <f>+Referanseark!I142+(Referanseark!I142*'P2026 '!$D$1)</f>
        <v>0</v>
      </c>
      <c r="J142" s="85"/>
      <c r="K142" s="134">
        <f t="shared" si="14"/>
        <v>0</v>
      </c>
      <c r="L142" s="130">
        <f t="shared" si="15"/>
        <v>0</v>
      </c>
    </row>
    <row r="143" spans="1:12" hidden="1" outlineLevel="1" x14ac:dyDescent="0.35">
      <c r="A143" s="37" t="s">
        <v>574</v>
      </c>
      <c r="B143" s="62" t="s">
        <v>575</v>
      </c>
      <c r="C143" s="54" t="s">
        <v>920</v>
      </c>
      <c r="D143" s="84">
        <f>+Referanseark!D143+(Referanseark!D143*'P2026 '!$D$1)</f>
        <v>0</v>
      </c>
      <c r="E143" s="84">
        <f>+Referanseark!E143+(Referanseark!E143*'P2026 '!$D$1)</f>
        <v>0</v>
      </c>
      <c r="F143" s="84">
        <f>+Referanseark!F143+(Referanseark!F143*'P2026 '!$D$1)</f>
        <v>0</v>
      </c>
      <c r="G143" s="84">
        <f>+Referanseark!G143+(Referanseark!G143*'P2026 '!$D$1)</f>
        <v>0</v>
      </c>
      <c r="H143" s="84">
        <f>+Referanseark!H143+(Referanseark!H143*'P2026 '!$D$1)</f>
        <v>0</v>
      </c>
      <c r="I143" s="84">
        <f>+Referanseark!I143+(Referanseark!I143*'P2026 '!$D$1)</f>
        <v>0</v>
      </c>
      <c r="J143" s="85"/>
      <c r="K143" s="134">
        <f t="shared" si="14"/>
        <v>0</v>
      </c>
      <c r="L143" s="130">
        <f t="shared" si="15"/>
        <v>0</v>
      </c>
    </row>
    <row r="144" spans="1:12" hidden="1" outlineLevel="1" x14ac:dyDescent="0.35">
      <c r="A144" s="37" t="s">
        <v>576</v>
      </c>
      <c r="B144" s="62" t="s">
        <v>577</v>
      </c>
      <c r="C144" s="54" t="s">
        <v>920</v>
      </c>
      <c r="D144" s="84">
        <f>+Referanseark!D144+(Referanseark!D144*'P2026 '!$D$1)</f>
        <v>0</v>
      </c>
      <c r="E144" s="84">
        <f>+Referanseark!E144+(Referanseark!E144*'P2026 '!$D$1)</f>
        <v>0</v>
      </c>
      <c r="F144" s="84">
        <f>+Referanseark!F144+(Referanseark!F144*'P2026 '!$D$1)</f>
        <v>0</v>
      </c>
      <c r="G144" s="84">
        <f>+Referanseark!G144+(Referanseark!G144*'P2026 '!$D$1)</f>
        <v>16969.567999999999</v>
      </c>
      <c r="H144" s="84">
        <f>+Referanseark!H144+(Referanseark!H144*'P2026 '!$D$1)</f>
        <v>-58920.904000000002</v>
      </c>
      <c r="I144" s="84">
        <f>+Referanseark!I144+(Referanseark!I144*'P2026 '!$D$1)</f>
        <v>0</v>
      </c>
      <c r="J144" s="85"/>
      <c r="K144" s="134">
        <f t="shared" si="14"/>
        <v>0</v>
      </c>
      <c r="L144" s="130">
        <f t="shared" si="15"/>
        <v>-41951.336000000003</v>
      </c>
    </row>
    <row r="145" spans="1:12" hidden="1" outlineLevel="1" x14ac:dyDescent="0.35">
      <c r="A145" s="37" t="s">
        <v>578</v>
      </c>
      <c r="B145" s="62" t="s">
        <v>579</v>
      </c>
      <c r="C145" s="54" t="s">
        <v>920</v>
      </c>
      <c r="D145" s="84">
        <f>+Referanseark!D145+(Referanseark!D145*'P2026 '!$D$1)</f>
        <v>0</v>
      </c>
      <c r="E145" s="84">
        <f>+Referanseark!E145+(Referanseark!E145*'P2026 '!$D$1)</f>
        <v>10641.288</v>
      </c>
      <c r="F145" s="84">
        <f>+Referanseark!F145+(Referanseark!F145*'P2026 '!$D$1)</f>
        <v>0</v>
      </c>
      <c r="G145" s="84">
        <f>+Referanseark!G145+(Referanseark!G145*'P2026 '!$D$1)</f>
        <v>0</v>
      </c>
      <c r="H145" s="84">
        <f>+Referanseark!H145+(Referanseark!H145*'P2026 '!$D$1)</f>
        <v>0</v>
      </c>
      <c r="I145" s="84">
        <f>+Referanseark!I145+(Referanseark!I145*'P2026 '!$D$1)</f>
        <v>0</v>
      </c>
      <c r="J145" s="85"/>
      <c r="K145" s="134">
        <f t="shared" si="14"/>
        <v>0</v>
      </c>
      <c r="L145" s="130">
        <f t="shared" si="15"/>
        <v>10641.288</v>
      </c>
    </row>
    <row r="146" spans="1:12" hidden="1" outlineLevel="1" x14ac:dyDescent="0.35">
      <c r="A146" s="37" t="s">
        <v>580</v>
      </c>
      <c r="B146" s="62" t="s">
        <v>581</v>
      </c>
      <c r="C146" s="54" t="s">
        <v>920</v>
      </c>
      <c r="D146" s="84">
        <f>+Referanseark!D146+(Referanseark!D146*'P2026 '!$D$1)</f>
        <v>0</v>
      </c>
      <c r="E146" s="84">
        <f>+Referanseark!E146+(Referanseark!E146*'P2026 '!$D$1)</f>
        <v>0</v>
      </c>
      <c r="F146" s="84">
        <f>+Referanseark!F146+(Referanseark!F146*'P2026 '!$D$1)</f>
        <v>0</v>
      </c>
      <c r="G146" s="84">
        <f>+Referanseark!G146+(Referanseark!G146*'P2026 '!$D$1)</f>
        <v>0</v>
      </c>
      <c r="H146" s="84">
        <f>+Referanseark!H146+(Referanseark!H146*'P2026 '!$D$1)</f>
        <v>0</v>
      </c>
      <c r="I146" s="84">
        <f>+Referanseark!I146+(Referanseark!I146*'P2026 '!$D$1)</f>
        <v>0</v>
      </c>
      <c r="J146" s="85"/>
      <c r="K146" s="134">
        <f t="shared" si="14"/>
        <v>0</v>
      </c>
      <c r="L146" s="130">
        <f t="shared" si="15"/>
        <v>0</v>
      </c>
    </row>
    <row r="147" spans="1:12" hidden="1" outlineLevel="1" x14ac:dyDescent="0.35">
      <c r="A147" s="37" t="s">
        <v>582</v>
      </c>
      <c r="B147" s="62" t="s">
        <v>583</v>
      </c>
      <c r="C147" s="54" t="s">
        <v>920</v>
      </c>
      <c r="D147" s="84">
        <f>+Referanseark!D147+(Referanseark!D147*'P2026 '!$D$1)</f>
        <v>0</v>
      </c>
      <c r="E147" s="84">
        <f>+Referanseark!E147+(Referanseark!E147*'P2026 '!$D$1)</f>
        <v>0</v>
      </c>
      <c r="F147" s="84">
        <f>+Referanseark!F147+(Referanseark!F147*'P2026 '!$D$1)</f>
        <v>0</v>
      </c>
      <c r="G147" s="84">
        <f>+Referanseark!G147+(Referanseark!G147*'P2026 '!$D$1)</f>
        <v>0</v>
      </c>
      <c r="H147" s="84">
        <f>+Referanseark!H147+(Referanseark!H147*'P2026 '!$D$1)</f>
        <v>0</v>
      </c>
      <c r="I147" s="84">
        <f>+Referanseark!I147+(Referanseark!I147*'P2026 '!$D$1)</f>
        <v>0</v>
      </c>
      <c r="J147" s="85"/>
      <c r="K147" s="134">
        <f t="shared" si="14"/>
        <v>0</v>
      </c>
      <c r="L147" s="130">
        <f t="shared" si="15"/>
        <v>0</v>
      </c>
    </row>
    <row r="148" spans="1:12" x14ac:dyDescent="0.35">
      <c r="A148" s="37"/>
      <c r="B148" s="72" t="s">
        <v>1286</v>
      </c>
      <c r="C148" s="53"/>
      <c r="D148" s="88">
        <f t="shared" ref="D148:I148" si="16">D4+D66-D103</f>
        <v>1582570.384799148</v>
      </c>
      <c r="E148" s="88">
        <f t="shared" si="16"/>
        <v>804373.67704536743</v>
      </c>
      <c r="F148" s="88">
        <f t="shared" si="16"/>
        <v>2691698.1282249205</v>
      </c>
      <c r="G148" s="88">
        <f t="shared" si="16"/>
        <v>3029559.2051680507</v>
      </c>
      <c r="H148" s="88">
        <f t="shared" si="16"/>
        <v>2815514.5732958466</v>
      </c>
      <c r="I148" s="88">
        <f t="shared" si="16"/>
        <v>1038296.3808000002</v>
      </c>
      <c r="J148" s="88"/>
      <c r="K148" s="137">
        <f>K102-K103</f>
        <v>7560823.1168000018</v>
      </c>
      <c r="L148" s="138">
        <f t="shared" si="15"/>
        <v>18484539.085333336</v>
      </c>
    </row>
    <row r="149" spans="1:12" collapsed="1" x14ac:dyDescent="0.35">
      <c r="A149" s="37"/>
      <c r="B149" s="62" t="s">
        <v>925</v>
      </c>
      <c r="C149" s="54"/>
      <c r="D149" s="84">
        <f>+Referanseark!D149+(Referanseark!D149*'P2026 '!$D$1)</f>
        <v>0</v>
      </c>
      <c r="E149" s="84">
        <f>+Referanseark!E149+(Referanseark!E149*'P2026 '!$D$1)</f>
        <v>87172.736000000004</v>
      </c>
      <c r="F149" s="84">
        <f>+Referanseark!F149+(Referanseark!F149*'P2026 '!$D$1)</f>
        <v>26945.979200000002</v>
      </c>
      <c r="G149" s="84">
        <f>+Referanseark!G149+(Referanseark!G149*'P2026 '!$D$1)</f>
        <v>10032.904</v>
      </c>
      <c r="H149" s="84">
        <f>+Referanseark!H149+(Referanseark!H149*'P2026 '!$D$1)</f>
        <v>0</v>
      </c>
      <c r="I149" s="84">
        <f>+Referanseark!I149+(Referanseark!I149*'P2026 '!$D$1)</f>
        <v>799890.24640000006</v>
      </c>
      <c r="J149" s="85">
        <f>SUM(J150:J195)</f>
        <v>5503890.7248</v>
      </c>
      <c r="K149" s="134">
        <f t="shared" si="14"/>
        <v>6303780.9712000005</v>
      </c>
      <c r="L149" s="130">
        <f t="shared" si="15"/>
        <v>6427932.5904000001</v>
      </c>
    </row>
    <row r="150" spans="1:12" hidden="1" outlineLevel="1" x14ac:dyDescent="0.35">
      <c r="A150" s="37" t="s">
        <v>584</v>
      </c>
      <c r="B150" s="62" t="s">
        <v>585</v>
      </c>
      <c r="C150" s="54" t="s">
        <v>925</v>
      </c>
      <c r="D150" s="84">
        <f>+Referanseark!D150+(Referanseark!D150*'P2026 '!$D$1)</f>
        <v>0</v>
      </c>
      <c r="E150" s="84">
        <f>+Referanseark!E150+(Referanseark!E150*'P2026 '!$D$1)</f>
        <v>0</v>
      </c>
      <c r="F150" s="119">
        <f>+Referanseark!F150+750000+(Referanseark!F150*'P2026 '!$D$1)</f>
        <v>2148351.0688</v>
      </c>
      <c r="G150" s="84">
        <f>+Referanseark!G150+(Referanseark!G150*'P2026 '!$D$1)</f>
        <v>885729.96959999995</v>
      </c>
      <c r="H150" s="84">
        <f>+Referanseark!H150+(Referanseark!H150*'P2026 '!$D$1)+350000</f>
        <v>1181926.0096</v>
      </c>
      <c r="I150" s="84">
        <f>+Referanseark!I150+(Referanseark!I150*'P2026 '!$D$1)</f>
        <v>439007.72159999999</v>
      </c>
      <c r="J150" s="85"/>
      <c r="K150" s="134">
        <f t="shared" si="14"/>
        <v>439007.72159999999</v>
      </c>
      <c r="L150" s="130">
        <f t="shared" si="15"/>
        <v>4655014.7696000002</v>
      </c>
    </row>
    <row r="151" spans="1:12" hidden="1" outlineLevel="1" x14ac:dyDescent="0.35">
      <c r="A151" s="37"/>
      <c r="B151" s="117" t="s">
        <v>1305</v>
      </c>
      <c r="C151" s="118"/>
      <c r="D151" s="122">
        <f>+Referanseark!D151+(Referanseark!D151*'P2026 '!$D$1)</f>
        <v>0</v>
      </c>
      <c r="E151" s="122">
        <f>+Referanseark!E151+(Referanseark!E151*'P2026 '!$D$1)</f>
        <v>0</v>
      </c>
      <c r="F151" s="122">
        <f>+Referanseark!F151+(Referanseark!F151*'P2026 '!$D$1)-1170000</f>
        <v>-2861933.2864000001</v>
      </c>
      <c r="G151" s="122">
        <f>+Referanseark!G151+(Referanseark!G151*'P2026 '!$D$1)</f>
        <v>-1207545.5504000001</v>
      </c>
      <c r="H151" s="122">
        <f>+Referanseark!H151+(Referanseark!H151*'P2026 '!$D$1)-350000</f>
        <v>-1434411.888</v>
      </c>
      <c r="I151" s="122">
        <f>+Referanseark!I151+(Referanseark!I151*'P2026 '!$D$1)</f>
        <v>0</v>
      </c>
      <c r="J151" s="128">
        <f>-H151-G151-F151-E151-D151</f>
        <v>5503890.7248</v>
      </c>
      <c r="K151" s="133">
        <f>+J151+I151</f>
        <v>5503890.7248</v>
      </c>
      <c r="L151" s="129">
        <f>+K151+H151+G151+F151+E151+D151</f>
        <v>-4.6566128730773926E-10</v>
      </c>
    </row>
    <row r="152" spans="1:12" hidden="1" outlineLevel="1" x14ac:dyDescent="0.35">
      <c r="A152" s="37" t="s">
        <v>586</v>
      </c>
      <c r="B152" s="62" t="s">
        <v>587</v>
      </c>
      <c r="C152" s="54" t="s">
        <v>925</v>
      </c>
      <c r="D152" s="84">
        <f>+Referanseark!D152+(Referanseark!D152*'P2026 '!$D$1)</f>
        <v>0</v>
      </c>
      <c r="E152" s="84">
        <f>+Referanseark!E152+(Referanseark!E152*'P2026 '!$D$1)</f>
        <v>0</v>
      </c>
      <c r="F152" s="84">
        <f>+Referanseark!F152+(Referanseark!F152*'P2026 '!$D$1)</f>
        <v>0</v>
      </c>
      <c r="G152" s="84">
        <f>+Referanseark!G152+(Referanseark!G152*'P2026 '!$D$1)</f>
        <v>4707.3711999999996</v>
      </c>
      <c r="H152" s="84">
        <f>+Referanseark!H152+(Referanseark!H152*'P2026 '!$D$1)</f>
        <v>0</v>
      </c>
      <c r="I152" s="84">
        <f>+Referanseark!I152+(Referanseark!I152*'P2026 '!$D$1)</f>
        <v>0</v>
      </c>
      <c r="J152" s="85"/>
      <c r="K152" s="134">
        <f t="shared" si="14"/>
        <v>0</v>
      </c>
      <c r="L152" s="130">
        <f t="shared" si="15"/>
        <v>4707.3711999999996</v>
      </c>
    </row>
    <row r="153" spans="1:12" hidden="1" outlineLevel="1" x14ac:dyDescent="0.35">
      <c r="A153" s="37" t="s">
        <v>588</v>
      </c>
      <c r="B153" s="62" t="s">
        <v>589</v>
      </c>
      <c r="C153" s="54" t="s">
        <v>925</v>
      </c>
      <c r="D153" s="84">
        <f>+Referanseark!D153+(Referanseark!D153*'P2026 '!$D$1)</f>
        <v>0</v>
      </c>
      <c r="E153" s="84">
        <f>+Referanseark!E153+(Referanseark!E153*'P2026 '!$D$1)</f>
        <v>0</v>
      </c>
      <c r="F153" s="84">
        <f>+Referanseark!F153+(Referanseark!F153*'P2026 '!$D$1)</f>
        <v>26945.979200000002</v>
      </c>
      <c r="G153" s="84">
        <f>+Referanseark!G153+(Referanseark!G153*'P2026 '!$D$1)</f>
        <v>2987.6</v>
      </c>
      <c r="H153" s="84">
        <f>+Referanseark!H153+(Referanseark!H153*'P2026 '!$D$1)</f>
        <v>0</v>
      </c>
      <c r="I153" s="84">
        <f>+Referanseark!I153+(Referanseark!I153*'P2026 '!$D$1)</f>
        <v>199580.37119999999</v>
      </c>
      <c r="J153" s="85"/>
      <c r="K153" s="134">
        <f t="shared" si="14"/>
        <v>199580.37119999999</v>
      </c>
      <c r="L153" s="130">
        <f t="shared" si="15"/>
        <v>229513.9504</v>
      </c>
    </row>
    <row r="154" spans="1:12" hidden="1" outlineLevel="1" x14ac:dyDescent="0.35">
      <c r="A154" s="37" t="s">
        <v>590</v>
      </c>
      <c r="B154" s="62" t="s">
        <v>591</v>
      </c>
      <c r="C154" s="54" t="s">
        <v>925</v>
      </c>
      <c r="D154" s="84">
        <f>+Referanseark!D154+(Referanseark!D154*'P2026 '!$D$1)</f>
        <v>0</v>
      </c>
      <c r="E154" s="84">
        <f>+Referanseark!E154+(Referanseark!E154*'P2026 '!$D$1)</f>
        <v>0</v>
      </c>
      <c r="F154" s="84">
        <f>+Referanseark!F154+(Referanseark!F154*'P2026 '!$D$1)</f>
        <v>0</v>
      </c>
      <c r="G154" s="84">
        <f>+Referanseark!G154+(Referanseark!G154*'P2026 '!$D$1)</f>
        <v>0</v>
      </c>
      <c r="H154" s="84">
        <f>+Referanseark!H154+(Referanseark!H154*'P2026 '!$D$1)</f>
        <v>0</v>
      </c>
      <c r="I154" s="84">
        <f>+Referanseark!I154+(Referanseark!I154*'P2026 '!$D$1)</f>
        <v>0</v>
      </c>
      <c r="J154" s="85"/>
      <c r="K154" s="134">
        <f t="shared" si="14"/>
        <v>0</v>
      </c>
      <c r="L154" s="130">
        <f t="shared" si="15"/>
        <v>0</v>
      </c>
    </row>
    <row r="155" spans="1:12" hidden="1" outlineLevel="1" x14ac:dyDescent="0.35">
      <c r="A155" s="37" t="s">
        <v>592</v>
      </c>
      <c r="B155" s="62" t="s">
        <v>593</v>
      </c>
      <c r="C155" s="54" t="s">
        <v>925</v>
      </c>
      <c r="D155" s="84">
        <f>+Referanseark!D155+(Referanseark!D155*'P2026 '!$D$1)</f>
        <v>0</v>
      </c>
      <c r="E155" s="84">
        <f>+Referanseark!E155+(Referanseark!E155*'P2026 '!$D$1)</f>
        <v>0</v>
      </c>
      <c r="F155" s="84">
        <f>+Referanseark!F155+(Referanseark!F155*'P2026 '!$D$1)</f>
        <v>0</v>
      </c>
      <c r="G155" s="84">
        <f>+Referanseark!G155+(Referanseark!G155*'P2026 '!$D$1)</f>
        <v>-7524.4063999999998</v>
      </c>
      <c r="H155" s="84">
        <f>+Referanseark!H155+(Referanseark!H155*'P2026 '!$D$1)</f>
        <v>103112.3968</v>
      </c>
      <c r="I155" s="84">
        <f>+Referanseark!I155+(Referanseark!I155*'P2026 '!$D$1)</f>
        <v>0</v>
      </c>
      <c r="J155" s="85"/>
      <c r="K155" s="134">
        <f t="shared" si="14"/>
        <v>0</v>
      </c>
      <c r="L155" s="130">
        <f t="shared" si="15"/>
        <v>95587.99040000001</v>
      </c>
    </row>
    <row r="156" spans="1:12" hidden="1" outlineLevel="1" x14ac:dyDescent="0.35">
      <c r="A156" s="37" t="s">
        <v>594</v>
      </c>
      <c r="B156" s="62" t="s">
        <v>595</v>
      </c>
      <c r="C156" s="54" t="s">
        <v>925</v>
      </c>
      <c r="D156" s="84">
        <f>+Referanseark!D156+(Referanseark!D156*'P2026 '!$D$1)</f>
        <v>0</v>
      </c>
      <c r="E156" s="84">
        <f>+Referanseark!E156+(Referanseark!E156*'P2026 '!$D$1)</f>
        <v>0</v>
      </c>
      <c r="F156" s="119">
        <f>+Referanseark!F156+50000+(Referanseark!F156*'P2026 '!$D$1)</f>
        <v>247227.22880000001</v>
      </c>
      <c r="G156" s="84">
        <f>+Referanseark!G156+(Referanseark!G156*'P2026 '!$D$1)</f>
        <v>106286.8576</v>
      </c>
      <c r="H156" s="84">
        <f>+Referanseark!H156+(Referanseark!H156*'P2026 '!$D$1)</f>
        <v>0</v>
      </c>
      <c r="I156" s="84">
        <f>+Referanseark!I156+(Referanseark!I156*'P2026 '!$D$1)</f>
        <v>59856.294399999999</v>
      </c>
      <c r="J156" s="85"/>
      <c r="K156" s="134">
        <f t="shared" si="14"/>
        <v>59856.294399999999</v>
      </c>
      <c r="L156" s="130">
        <f t="shared" si="15"/>
        <v>413370.38079999998</v>
      </c>
    </row>
    <row r="157" spans="1:12" hidden="1" outlineLevel="1" x14ac:dyDescent="0.35">
      <c r="A157" s="37" t="s">
        <v>596</v>
      </c>
      <c r="B157" s="62" t="s">
        <v>597</v>
      </c>
      <c r="C157" s="54" t="s">
        <v>925</v>
      </c>
      <c r="D157" s="84">
        <f>+Referanseark!D157+(Referanseark!D157*'P2026 '!$D$1)</f>
        <v>0</v>
      </c>
      <c r="E157" s="84">
        <f>+Referanseark!E157+(Referanseark!E157*'P2026 '!$D$1)</f>
        <v>0</v>
      </c>
      <c r="F157" s="84">
        <f>+Referanseark!F157+(Referanseark!F157*'P2026 '!$D$1)</f>
        <v>0</v>
      </c>
      <c r="G157" s="84">
        <f>+Referanseark!G157+(Referanseark!G157*'P2026 '!$D$1)</f>
        <v>10163.272000000001</v>
      </c>
      <c r="H157" s="84">
        <f>+Referanseark!H157+(Referanseark!H157*'P2026 '!$D$1)</f>
        <v>0</v>
      </c>
      <c r="I157" s="84">
        <f>+Referanseark!I157+(Referanseark!I157*'P2026 '!$D$1)</f>
        <v>0</v>
      </c>
      <c r="J157" s="85"/>
      <c r="K157" s="134">
        <f t="shared" si="14"/>
        <v>0</v>
      </c>
      <c r="L157" s="130">
        <f t="shared" si="15"/>
        <v>10163.272000000001</v>
      </c>
    </row>
    <row r="158" spans="1:12" hidden="1" outlineLevel="1" x14ac:dyDescent="0.35">
      <c r="A158" s="37" t="s">
        <v>598</v>
      </c>
      <c r="B158" s="62" t="s">
        <v>599</v>
      </c>
      <c r="C158" s="54" t="s">
        <v>925</v>
      </c>
      <c r="D158" s="84">
        <f>+Referanseark!D158+(Referanseark!D158*'P2026 '!$D$1)</f>
        <v>0</v>
      </c>
      <c r="E158" s="84">
        <f>+Referanseark!E158+(Referanseark!E158*'P2026 '!$D$1)</f>
        <v>0</v>
      </c>
      <c r="F158" s="84">
        <f>+Referanseark!F158+(Referanseark!F158*'P2026 '!$D$1)</f>
        <v>0</v>
      </c>
      <c r="G158" s="84">
        <f>+Referanseark!G158+(Referanseark!G158*'P2026 '!$D$1)</f>
        <v>0</v>
      </c>
      <c r="H158" s="84">
        <f>+Referanseark!H158+(Referanseark!H158*'P2026 '!$D$1)</f>
        <v>0</v>
      </c>
      <c r="I158" s="84">
        <f>+Referanseark!I158+(Referanseark!I158*'P2026 '!$D$1)</f>
        <v>0</v>
      </c>
      <c r="J158" s="85"/>
      <c r="K158" s="134">
        <f t="shared" si="14"/>
        <v>0</v>
      </c>
      <c r="L158" s="130">
        <f t="shared" si="15"/>
        <v>0</v>
      </c>
    </row>
    <row r="159" spans="1:12" hidden="1" outlineLevel="1" x14ac:dyDescent="0.35">
      <c r="A159" s="37" t="s">
        <v>600</v>
      </c>
      <c r="B159" s="62" t="s">
        <v>601</v>
      </c>
      <c r="C159" s="54" t="s">
        <v>925</v>
      </c>
      <c r="D159" s="84">
        <f>+Referanseark!D159+(Referanseark!D159*'P2026 '!$D$1)</f>
        <v>0</v>
      </c>
      <c r="E159" s="84">
        <f>+Referanseark!E159+(Referanseark!E159*'P2026 '!$D$1)</f>
        <v>0</v>
      </c>
      <c r="F159" s="84">
        <f>+Referanseark!F159+(Referanseark!F159*'P2026 '!$D$1)</f>
        <v>0</v>
      </c>
      <c r="G159" s="84">
        <f>+Referanseark!G159+(Referanseark!G159*'P2026 '!$D$1)</f>
        <v>888.67520000000002</v>
      </c>
      <c r="H159" s="84">
        <f>+Referanseark!H159+(Referanseark!H159*'P2026 '!$D$1)</f>
        <v>0</v>
      </c>
      <c r="I159" s="84">
        <f>+Referanseark!I159+(Referanseark!I159*'P2026 '!$D$1)</f>
        <v>0</v>
      </c>
      <c r="J159" s="85"/>
      <c r="K159" s="134">
        <f t="shared" si="14"/>
        <v>0</v>
      </c>
      <c r="L159" s="130">
        <f t="shared" si="15"/>
        <v>888.67520000000002</v>
      </c>
    </row>
    <row r="160" spans="1:12" hidden="1" outlineLevel="1" x14ac:dyDescent="0.35">
      <c r="A160" s="37" t="s">
        <v>602</v>
      </c>
      <c r="B160" s="62" t="s">
        <v>603</v>
      </c>
      <c r="C160" s="54" t="s">
        <v>925</v>
      </c>
      <c r="D160" s="84">
        <f>+Referanseark!D160+(Referanseark!D160*'P2026 '!$D$1)</f>
        <v>0</v>
      </c>
      <c r="E160" s="84">
        <f>+Referanseark!E160+(Referanseark!E160*'P2026 '!$D$1)</f>
        <v>0</v>
      </c>
      <c r="F160" s="84">
        <f>+Referanseark!F160+(Referanseark!F160*'P2026 '!$D$1)</f>
        <v>0</v>
      </c>
      <c r="G160" s="84">
        <f>+Referanseark!G160+(Referanseark!G160*'P2026 '!$D$1)</f>
        <v>0</v>
      </c>
      <c r="H160" s="84">
        <f>+Referanseark!H160+(Referanseark!H160*'P2026 '!$D$1)</f>
        <v>0</v>
      </c>
      <c r="I160" s="84">
        <f>+Referanseark!I160+(Referanseark!I160*'P2026 '!$D$1)</f>
        <v>0</v>
      </c>
      <c r="J160" s="85"/>
      <c r="K160" s="134">
        <f t="shared" si="14"/>
        <v>0</v>
      </c>
      <c r="L160" s="130">
        <f t="shared" si="15"/>
        <v>0</v>
      </c>
    </row>
    <row r="161" spans="1:12" hidden="1" outlineLevel="1" x14ac:dyDescent="0.35">
      <c r="A161" s="37" t="s">
        <v>604</v>
      </c>
      <c r="B161" s="62" t="s">
        <v>605</v>
      </c>
      <c r="C161" s="54" t="s">
        <v>925</v>
      </c>
      <c r="D161" s="84">
        <f>+Referanseark!D161+(Referanseark!D161*'P2026 '!$D$1)</f>
        <v>0</v>
      </c>
      <c r="E161" s="84">
        <f>+Referanseark!E161+(Referanseark!E161*'P2026 '!$D$1)</f>
        <v>0</v>
      </c>
      <c r="F161" s="84">
        <f>+Referanseark!F161+(Referanseark!F161*'P2026 '!$D$1)</f>
        <v>0</v>
      </c>
      <c r="G161" s="84">
        <f>+Referanseark!G161+(Referanseark!G161*'P2026 '!$D$1)</f>
        <v>0</v>
      </c>
      <c r="H161" s="84">
        <f>+Referanseark!H161+(Referanseark!H161*'P2026 '!$D$1)</f>
        <v>0</v>
      </c>
      <c r="I161" s="84">
        <f>+Referanseark!I161+(Referanseark!I161*'P2026 '!$D$1)</f>
        <v>0</v>
      </c>
      <c r="J161" s="85"/>
      <c r="K161" s="134">
        <f t="shared" si="14"/>
        <v>0</v>
      </c>
      <c r="L161" s="130">
        <f t="shared" si="15"/>
        <v>0</v>
      </c>
    </row>
    <row r="162" spans="1:12" hidden="1" outlineLevel="1" x14ac:dyDescent="0.35">
      <c r="A162" s="37" t="s">
        <v>606</v>
      </c>
      <c r="B162" s="62" t="s">
        <v>607</v>
      </c>
      <c r="C162" s="54" t="s">
        <v>925</v>
      </c>
      <c r="D162" s="84">
        <f>+Referanseark!D162+(Referanseark!D162*'P2026 '!$D$1)</f>
        <v>0</v>
      </c>
      <c r="E162" s="84">
        <f>+Referanseark!E162+(Referanseark!E162*'P2026 '!$D$1)</f>
        <v>0</v>
      </c>
      <c r="F162" s="84">
        <f>+Referanseark!F162+(Referanseark!F162*'P2026 '!$D$1)</f>
        <v>0</v>
      </c>
      <c r="G162" s="84">
        <f>+Referanseark!G162+(Referanseark!G162*'P2026 '!$D$1)</f>
        <v>0</v>
      </c>
      <c r="H162" s="84">
        <f>+Referanseark!H162+(Referanseark!H162*'P2026 '!$D$1)</f>
        <v>0</v>
      </c>
      <c r="I162" s="84">
        <f>+Referanseark!I162+(Referanseark!I162*'P2026 '!$D$1)</f>
        <v>0</v>
      </c>
      <c r="J162" s="85"/>
      <c r="K162" s="134">
        <f t="shared" si="14"/>
        <v>0</v>
      </c>
      <c r="L162" s="130">
        <f t="shared" si="15"/>
        <v>0</v>
      </c>
    </row>
    <row r="163" spans="1:12" hidden="1" outlineLevel="1" x14ac:dyDescent="0.35">
      <c r="A163" s="37" t="s">
        <v>608</v>
      </c>
      <c r="B163" s="62" t="s">
        <v>609</v>
      </c>
      <c r="C163" s="54" t="s">
        <v>925</v>
      </c>
      <c r="D163" s="84">
        <f>+Referanseark!D163+(Referanseark!D163*'P2026 '!$D$1)</f>
        <v>0</v>
      </c>
      <c r="E163" s="84">
        <f>+Referanseark!E163+(Referanseark!E163*'P2026 '!$D$1)</f>
        <v>0</v>
      </c>
      <c r="F163" s="84">
        <f>+Referanseark!F163+(Referanseark!F163*'P2026 '!$D$1)</f>
        <v>0</v>
      </c>
      <c r="G163" s="84">
        <f>+Referanseark!G163+(Referanseark!G163*'P2026 '!$D$1)</f>
        <v>0</v>
      </c>
      <c r="H163" s="84">
        <f>+Referanseark!H163+(Referanseark!H163*'P2026 '!$D$1)</f>
        <v>0</v>
      </c>
      <c r="I163" s="84">
        <f>+Referanseark!I163+(Referanseark!I163*'P2026 '!$D$1)</f>
        <v>0</v>
      </c>
      <c r="J163" s="85"/>
      <c r="K163" s="134">
        <f t="shared" si="14"/>
        <v>0</v>
      </c>
      <c r="L163" s="130">
        <f t="shared" si="15"/>
        <v>0</v>
      </c>
    </row>
    <row r="164" spans="1:12" hidden="1" outlineLevel="1" x14ac:dyDescent="0.35">
      <c r="A164" s="37" t="s">
        <v>610</v>
      </c>
      <c r="B164" s="62" t="s">
        <v>611</v>
      </c>
      <c r="C164" s="54" t="s">
        <v>925</v>
      </c>
      <c r="D164" s="84">
        <f>+Referanseark!D164+(Referanseark!D164*'P2026 '!$D$1)</f>
        <v>0</v>
      </c>
      <c r="E164" s="84">
        <f>+Referanseark!E164+(Referanseark!E164*'P2026 '!$D$1)</f>
        <v>0</v>
      </c>
      <c r="F164" s="84">
        <f>+Referanseark!F164+(Referanseark!F164*'P2026 '!$D$1)</f>
        <v>0</v>
      </c>
      <c r="G164" s="84">
        <f>+Referanseark!G164+(Referanseark!G164*'P2026 '!$D$1)</f>
        <v>0</v>
      </c>
      <c r="H164" s="84">
        <f>+Referanseark!H164+(Referanseark!H164*'P2026 '!$D$1)</f>
        <v>0</v>
      </c>
      <c r="I164" s="84">
        <f>+Referanseark!I164+(Referanseark!I164*'P2026 '!$D$1)</f>
        <v>0</v>
      </c>
      <c r="J164" s="85"/>
      <c r="K164" s="134">
        <f t="shared" si="14"/>
        <v>0</v>
      </c>
      <c r="L164" s="130">
        <f t="shared" si="15"/>
        <v>0</v>
      </c>
    </row>
    <row r="165" spans="1:12" hidden="1" outlineLevel="1" x14ac:dyDescent="0.35">
      <c r="A165" s="37" t="s">
        <v>612</v>
      </c>
      <c r="B165" s="62" t="s">
        <v>613</v>
      </c>
      <c r="C165" s="54" t="s">
        <v>925</v>
      </c>
      <c r="D165" s="84">
        <f>+Referanseark!D165+(Referanseark!D165*'P2026 '!$D$1)</f>
        <v>0</v>
      </c>
      <c r="E165" s="84">
        <f>+Referanseark!E165+(Referanseark!E165*'P2026 '!$D$1)</f>
        <v>0</v>
      </c>
      <c r="F165" s="84">
        <f>+Referanseark!F165+(Referanseark!F165*'P2026 '!$D$1)</f>
        <v>5118.0303999999996</v>
      </c>
      <c r="G165" s="84">
        <f>+Referanseark!G165+(Referanseark!G165*'P2026 '!$D$1)</f>
        <v>0</v>
      </c>
      <c r="H165" s="84">
        <f>+Referanseark!H165+(Referanseark!H165*'P2026 '!$D$1)</f>
        <v>0</v>
      </c>
      <c r="I165" s="84">
        <f>+Referanseark!I165+(Referanseark!I165*'P2026 '!$D$1)</f>
        <v>16290.567999999999</v>
      </c>
      <c r="J165" s="85"/>
      <c r="K165" s="134">
        <f t="shared" si="14"/>
        <v>16290.567999999999</v>
      </c>
      <c r="L165" s="130">
        <f t="shared" si="15"/>
        <v>21408.598399999999</v>
      </c>
    </row>
    <row r="166" spans="1:12" hidden="1" outlineLevel="1" x14ac:dyDescent="0.35">
      <c r="A166" s="37" t="s">
        <v>614</v>
      </c>
      <c r="B166" s="62" t="s">
        <v>615</v>
      </c>
      <c r="C166" s="54" t="s">
        <v>925</v>
      </c>
      <c r="D166" s="84">
        <f>+Referanseark!D166+(Referanseark!D166*'P2026 '!$D$1)</f>
        <v>0</v>
      </c>
      <c r="E166" s="84">
        <f>+Referanseark!E166+(Referanseark!E166*'P2026 '!$D$1)</f>
        <v>0</v>
      </c>
      <c r="F166" s="84">
        <f>+Referanseark!F166+(Referanseark!F166*'P2026 '!$D$1)</f>
        <v>0</v>
      </c>
      <c r="G166" s="84">
        <f>+Referanseark!G166+(Referanseark!G166*'P2026 '!$D$1)</f>
        <v>0</v>
      </c>
      <c r="H166" s="84">
        <f>+Referanseark!H166+(Referanseark!H166*'P2026 '!$D$1)</f>
        <v>0</v>
      </c>
      <c r="I166" s="84">
        <f>+Referanseark!I166+(Referanseark!I166*'P2026 '!$D$1)</f>
        <v>0</v>
      </c>
      <c r="J166" s="85"/>
      <c r="K166" s="134">
        <f t="shared" si="14"/>
        <v>0</v>
      </c>
      <c r="L166" s="130">
        <f t="shared" si="15"/>
        <v>0</v>
      </c>
    </row>
    <row r="167" spans="1:12" hidden="1" outlineLevel="1" x14ac:dyDescent="0.35">
      <c r="A167" s="37" t="s">
        <v>616</v>
      </c>
      <c r="B167" s="62" t="s">
        <v>617</v>
      </c>
      <c r="C167" s="54" t="s">
        <v>925</v>
      </c>
      <c r="D167" s="84">
        <f>+Referanseark!D167+(Referanseark!D167*'P2026 '!$D$1)</f>
        <v>0</v>
      </c>
      <c r="E167" s="84">
        <f>+Referanseark!E167+(Referanseark!E167*'P2026 '!$D$1)</f>
        <v>0</v>
      </c>
      <c r="F167" s="84">
        <f>+Referanseark!F167+(Referanseark!F167*'P2026 '!$D$1)</f>
        <v>0</v>
      </c>
      <c r="G167" s="84">
        <f>+Referanseark!G167+(Referanseark!G167*'P2026 '!$D$1)</f>
        <v>-888.67520000000002</v>
      </c>
      <c r="H167" s="84">
        <f>+Referanseark!H167+(Referanseark!H167*'P2026 '!$D$1)</f>
        <v>0</v>
      </c>
      <c r="I167" s="84">
        <f>+Referanseark!I167+(Referanseark!I167*'P2026 '!$D$1)</f>
        <v>-16511.107199999999</v>
      </c>
      <c r="J167" s="85"/>
      <c r="K167" s="134">
        <f t="shared" si="14"/>
        <v>-16511.107199999999</v>
      </c>
      <c r="L167" s="130">
        <f t="shared" si="15"/>
        <v>-17399.7824</v>
      </c>
    </row>
    <row r="168" spans="1:12" hidden="1" outlineLevel="1" x14ac:dyDescent="0.35">
      <c r="A168" s="37" t="s">
        <v>618</v>
      </c>
      <c r="B168" s="62" t="s">
        <v>619</v>
      </c>
      <c r="C168" s="54" t="s">
        <v>925</v>
      </c>
      <c r="D168" s="84">
        <f>+Referanseark!D168+(Referanseark!D168*'P2026 '!$D$1)</f>
        <v>0</v>
      </c>
      <c r="E168" s="84">
        <f>+Referanseark!E168+(Referanseark!E168*'P2026 '!$D$1)</f>
        <v>0</v>
      </c>
      <c r="F168" s="84">
        <f>+Referanseark!F168+(Referanseark!F168*'P2026 '!$D$1)</f>
        <v>0</v>
      </c>
      <c r="G168" s="84">
        <f>+Referanseark!G168+(Referanseark!G168*'P2026 '!$D$1)</f>
        <v>0</v>
      </c>
      <c r="H168" s="84">
        <f>+Referanseark!H168+(Referanseark!H168*'P2026 '!$D$1)</f>
        <v>0</v>
      </c>
      <c r="I168" s="84">
        <f>+Referanseark!I168+(Referanseark!I168*'P2026 '!$D$1)</f>
        <v>0</v>
      </c>
      <c r="J168" s="85"/>
      <c r="K168" s="134">
        <f t="shared" si="14"/>
        <v>0</v>
      </c>
      <c r="L168" s="130">
        <f t="shared" si="15"/>
        <v>0</v>
      </c>
    </row>
    <row r="169" spans="1:12" hidden="1" outlineLevel="1" x14ac:dyDescent="0.35">
      <c r="A169" s="37" t="s">
        <v>620</v>
      </c>
      <c r="B169" s="62" t="s">
        <v>621</v>
      </c>
      <c r="C169" s="54" t="s">
        <v>925</v>
      </c>
      <c r="D169" s="84">
        <f>+Referanseark!D169+(Referanseark!D169*'P2026 '!$D$1)</f>
        <v>0</v>
      </c>
      <c r="E169" s="84">
        <f>+Referanseark!E169+(Referanseark!E169*'P2026 '!$D$1)</f>
        <v>87172.736000000004</v>
      </c>
      <c r="F169" s="84">
        <f>+Referanseark!F169+(Referanseark!F169*'P2026 '!$D$1)</f>
        <v>0</v>
      </c>
      <c r="G169" s="84">
        <f>+Referanseark!G169+(Referanseark!G169*'P2026 '!$D$1)</f>
        <v>0</v>
      </c>
      <c r="H169" s="84">
        <f>+Referanseark!H169+(Referanseark!H169*'P2026 '!$D$1)</f>
        <v>0</v>
      </c>
      <c r="I169" s="84">
        <f>+Referanseark!I169+(Referanseark!I169*'P2026 '!$D$1)</f>
        <v>0</v>
      </c>
      <c r="J169" s="85"/>
      <c r="K169" s="134">
        <f t="shared" si="14"/>
        <v>0</v>
      </c>
      <c r="L169" s="130">
        <f t="shared" si="15"/>
        <v>87172.736000000004</v>
      </c>
    </row>
    <row r="170" spans="1:12" hidden="1" outlineLevel="1" x14ac:dyDescent="0.35">
      <c r="A170" s="37" t="s">
        <v>622</v>
      </c>
      <c r="B170" s="62" t="s">
        <v>926</v>
      </c>
      <c r="C170" s="54" t="s">
        <v>925</v>
      </c>
      <c r="D170" s="84">
        <f>+Referanseark!D170+(Referanseark!D170*'P2026 '!$D$1)</f>
        <v>0</v>
      </c>
      <c r="E170" s="84">
        <f>+Referanseark!E170+(Referanseark!E170*'P2026 '!$D$1)</f>
        <v>0</v>
      </c>
      <c r="F170" s="84">
        <f>+Referanseark!F170+(Referanseark!F170*'P2026 '!$D$1)</f>
        <v>761.56640000000004</v>
      </c>
      <c r="G170" s="84">
        <f>+Referanseark!G170+(Referanseark!G170*'P2026 '!$D$1)</f>
        <v>15068.368</v>
      </c>
      <c r="H170" s="84">
        <f>+Referanseark!H170+(Referanseark!H170*'P2026 '!$D$1)</f>
        <v>0</v>
      </c>
      <c r="I170" s="84">
        <f>+Referanseark!I170+(Referanseark!I170*'P2026 '!$D$1)</f>
        <v>0</v>
      </c>
      <c r="J170" s="85"/>
      <c r="K170" s="134">
        <f t="shared" si="14"/>
        <v>0</v>
      </c>
      <c r="L170" s="130">
        <f t="shared" si="15"/>
        <v>15829.9344</v>
      </c>
    </row>
    <row r="171" spans="1:12" hidden="1" outlineLevel="1" x14ac:dyDescent="0.35">
      <c r="A171" s="37" t="s">
        <v>623</v>
      </c>
      <c r="B171" s="62" t="s">
        <v>927</v>
      </c>
      <c r="C171" s="54" t="s">
        <v>925</v>
      </c>
      <c r="D171" s="84">
        <f>+Referanseark!D171+(Referanseark!D171*'P2026 '!$D$1)</f>
        <v>0</v>
      </c>
      <c r="E171" s="84">
        <f>+Referanseark!E171+(Referanseark!E171*'P2026 '!$D$1)</f>
        <v>0</v>
      </c>
      <c r="F171" s="84">
        <f>+Referanseark!F171+(Referanseark!F171*'P2026 '!$D$1)</f>
        <v>0</v>
      </c>
      <c r="G171" s="84">
        <f>+Referanseark!G171+(Referanseark!G171*'P2026 '!$D$1)</f>
        <v>398.7088</v>
      </c>
      <c r="H171" s="84">
        <f>+Referanseark!H171+(Referanseark!H171*'P2026 '!$D$1)</f>
        <v>0</v>
      </c>
      <c r="I171" s="84">
        <f>+Referanseark!I171+(Referanseark!I171*'P2026 '!$D$1)</f>
        <v>0</v>
      </c>
      <c r="J171" s="85"/>
      <c r="K171" s="134">
        <f t="shared" si="14"/>
        <v>0</v>
      </c>
      <c r="L171" s="130">
        <f t="shared" si="15"/>
        <v>398.7088</v>
      </c>
    </row>
    <row r="172" spans="1:12" hidden="1" outlineLevel="1" x14ac:dyDescent="0.35">
      <c r="A172" s="37" t="s">
        <v>624</v>
      </c>
      <c r="B172" s="62" t="s">
        <v>625</v>
      </c>
      <c r="C172" s="54" t="s">
        <v>925</v>
      </c>
      <c r="D172" s="84">
        <f>+Referanseark!D172+(Referanseark!D172*'P2026 '!$D$1)</f>
        <v>0</v>
      </c>
      <c r="E172" s="84">
        <f>+Referanseark!E172+(Referanseark!E172*'P2026 '!$D$1)</f>
        <v>0</v>
      </c>
      <c r="F172" s="119">
        <f>+Referanseark!F172+83000+(Referanseark!F172*'P2026 '!$D$1)</f>
        <v>285608.16800000001</v>
      </c>
      <c r="G172" s="84">
        <f>+Referanseark!G172+(Referanseark!G172*'P2026 '!$D$1)</f>
        <v>132125.79519999999</v>
      </c>
      <c r="H172" s="84">
        <f>+Referanseark!H172+(Referanseark!H172*'P2026 '!$D$1)</f>
        <v>100108.50079999999</v>
      </c>
      <c r="I172" s="84">
        <f>+Referanseark!I172+(Referanseark!I172*'P2026 '!$D$1)</f>
        <v>65137.284800000001</v>
      </c>
      <c r="J172" s="85"/>
      <c r="K172" s="134">
        <f t="shared" si="14"/>
        <v>65137.284800000001</v>
      </c>
      <c r="L172" s="130">
        <f t="shared" si="15"/>
        <v>582979.74880000006</v>
      </c>
    </row>
    <row r="173" spans="1:12" hidden="1" outlineLevel="1" x14ac:dyDescent="0.35">
      <c r="A173" s="37" t="s">
        <v>626</v>
      </c>
      <c r="B173" s="62" t="s">
        <v>627</v>
      </c>
      <c r="C173" s="54" t="s">
        <v>925</v>
      </c>
      <c r="D173" s="84">
        <f>+Referanseark!D173+(Referanseark!D173*'P2026 '!$D$1)</f>
        <v>0</v>
      </c>
      <c r="E173" s="84">
        <f>+Referanseark!E173+(Referanseark!E173*'P2026 '!$D$1)</f>
        <v>0</v>
      </c>
      <c r="F173" s="84">
        <f>+Referanseark!F173+(Referanseark!F173*'P2026 '!$D$1)</f>
        <v>27811.84</v>
      </c>
      <c r="G173" s="84">
        <f>+Referanseark!G173+(Referanseark!G173*'P2026 '!$D$1)</f>
        <v>16419.849600000001</v>
      </c>
      <c r="H173" s="84">
        <f>+Referanseark!H173+(Referanseark!H173*'P2026 '!$D$1)</f>
        <v>14424.132799999999</v>
      </c>
      <c r="I173" s="84">
        <f>+Referanseark!I173+(Referanseark!I173*'P2026 '!$D$1)</f>
        <v>8548.8816000000006</v>
      </c>
      <c r="J173" s="85"/>
      <c r="K173" s="134">
        <f t="shared" si="14"/>
        <v>8548.8816000000006</v>
      </c>
      <c r="L173" s="130">
        <f t="shared" si="15"/>
        <v>67204.703999999998</v>
      </c>
    </row>
    <row r="174" spans="1:12" hidden="1" outlineLevel="1" x14ac:dyDescent="0.35">
      <c r="A174" s="37" t="s">
        <v>628</v>
      </c>
      <c r="B174" s="62" t="s">
        <v>629</v>
      </c>
      <c r="C174" s="54" t="s">
        <v>925</v>
      </c>
      <c r="D174" s="84">
        <f>+Referanseark!D174+(Referanseark!D174*'P2026 '!$D$1)</f>
        <v>0</v>
      </c>
      <c r="E174" s="84">
        <f>+Referanseark!E174+(Referanseark!E174*'P2026 '!$D$1)</f>
        <v>0</v>
      </c>
      <c r="F174" s="119">
        <f>+Referanseark!F174+30000+(Referanseark!F174*'P2026 '!$D$1)</f>
        <v>121069.6528</v>
      </c>
      <c r="G174" s="84">
        <f>+Referanseark!G174+(Referanseark!G174*'P2026 '!$D$1)</f>
        <v>40173.9856</v>
      </c>
      <c r="H174" s="84">
        <f>+Referanseark!H174+(Referanseark!H174*'P2026 '!$D$1)</f>
        <v>34840.847999999998</v>
      </c>
      <c r="I174" s="84">
        <f>+Referanseark!I174+(Referanseark!I174*'P2026 '!$D$1)</f>
        <v>20368.9136</v>
      </c>
      <c r="J174" s="85"/>
      <c r="K174" s="134">
        <f t="shared" si="14"/>
        <v>20368.9136</v>
      </c>
      <c r="L174" s="130">
        <f t="shared" si="15"/>
        <v>216453.40000000002</v>
      </c>
    </row>
    <row r="175" spans="1:12" hidden="1" outlineLevel="1" x14ac:dyDescent="0.35">
      <c r="A175" s="37" t="s">
        <v>630</v>
      </c>
      <c r="B175" s="62" t="s">
        <v>631</v>
      </c>
      <c r="C175" s="54" t="s">
        <v>925</v>
      </c>
      <c r="D175" s="84">
        <f>+Referanseark!D175+(Referanseark!D175*'P2026 '!$D$1)</f>
        <v>0</v>
      </c>
      <c r="E175" s="84">
        <f>+Referanseark!E175+(Referanseark!E175*'P2026 '!$D$1)</f>
        <v>0</v>
      </c>
      <c r="F175" s="84">
        <f>+Referanseark!F175+(Referanseark!F175*'P2026 '!$D$1)</f>
        <v>0</v>
      </c>
      <c r="G175" s="84">
        <f>+Referanseark!G175+(Referanseark!G175*'P2026 '!$D$1)</f>
        <v>0</v>
      </c>
      <c r="H175" s="84">
        <f>+Referanseark!H175+(Referanseark!H175*'P2026 '!$D$1)</f>
        <v>0</v>
      </c>
      <c r="I175" s="84">
        <f>+Referanseark!I175+(Referanseark!I175*'P2026 '!$D$1)</f>
        <v>0</v>
      </c>
      <c r="J175" s="85"/>
      <c r="K175" s="134">
        <f t="shared" si="14"/>
        <v>0</v>
      </c>
      <c r="L175" s="130">
        <f t="shared" si="15"/>
        <v>0</v>
      </c>
    </row>
    <row r="176" spans="1:12" hidden="1" outlineLevel="1" x14ac:dyDescent="0.35">
      <c r="A176" s="37" t="s">
        <v>632</v>
      </c>
      <c r="B176" s="62" t="s">
        <v>633</v>
      </c>
      <c r="C176" s="54" t="s">
        <v>925</v>
      </c>
      <c r="D176" s="84">
        <f>+Referanseark!D176+(Referanseark!D176*'P2026 '!$D$1)</f>
        <v>0</v>
      </c>
      <c r="E176" s="84">
        <f>+Referanseark!E176+(Referanseark!E176*'P2026 '!$D$1)</f>
        <v>0</v>
      </c>
      <c r="F176" s="84">
        <f>+Referanseark!F176+(Referanseark!F176*'P2026 '!$D$1)</f>
        <v>0</v>
      </c>
      <c r="G176" s="84">
        <f>+Referanseark!G176+(Referanseark!G176*'P2026 '!$D$1)</f>
        <v>2697.5311999999999</v>
      </c>
      <c r="H176" s="84">
        <f>+Referanseark!H176+(Referanseark!H176*'P2026 '!$D$1)</f>
        <v>0</v>
      </c>
      <c r="I176" s="84">
        <f>+Referanseark!I176+(Referanseark!I176*'P2026 '!$D$1)</f>
        <v>0</v>
      </c>
      <c r="J176" s="85"/>
      <c r="K176" s="134">
        <f t="shared" si="14"/>
        <v>0</v>
      </c>
      <c r="L176" s="130">
        <f t="shared" si="15"/>
        <v>2697.5311999999999</v>
      </c>
    </row>
    <row r="177" spans="1:12" hidden="1" outlineLevel="1" x14ac:dyDescent="0.35">
      <c r="A177" s="37" t="s">
        <v>634</v>
      </c>
      <c r="B177" s="62" t="s">
        <v>635</v>
      </c>
      <c r="C177" s="54" t="s">
        <v>925</v>
      </c>
      <c r="D177" s="84">
        <f>+Referanseark!D177+(Referanseark!D177*'P2026 '!$D$1)</f>
        <v>0</v>
      </c>
      <c r="E177" s="84">
        <f>+Referanseark!E177+(Referanseark!E177*'P2026 '!$D$1)</f>
        <v>0</v>
      </c>
      <c r="F177" s="84">
        <f>+Referanseark!F177+(Referanseark!F177*'P2026 '!$D$1)</f>
        <v>0</v>
      </c>
      <c r="G177" s="84">
        <f>+Referanseark!G177+(Referanseark!G177*'P2026 '!$D$1)</f>
        <v>0</v>
      </c>
      <c r="H177" s="84">
        <f>+Referanseark!H177+(Referanseark!H177*'P2026 '!$D$1)</f>
        <v>0</v>
      </c>
      <c r="I177" s="84">
        <f>+Referanseark!I177+(Referanseark!I177*'P2026 '!$D$1)</f>
        <v>0</v>
      </c>
      <c r="J177" s="85"/>
      <c r="K177" s="134">
        <f t="shared" si="14"/>
        <v>0</v>
      </c>
      <c r="L177" s="130">
        <f t="shared" si="15"/>
        <v>0</v>
      </c>
    </row>
    <row r="178" spans="1:12" hidden="1" outlineLevel="1" x14ac:dyDescent="0.35">
      <c r="A178" s="37" t="s">
        <v>636</v>
      </c>
      <c r="B178" s="62" t="s">
        <v>637</v>
      </c>
      <c r="C178" s="54" t="s">
        <v>925</v>
      </c>
      <c r="D178" s="84">
        <f>+Referanseark!D178+(Referanseark!D178*'P2026 '!$D$1)</f>
        <v>0</v>
      </c>
      <c r="E178" s="84">
        <f>+Referanseark!E178+(Referanseark!E178*'P2026 '!$D$1)</f>
        <v>0</v>
      </c>
      <c r="F178" s="119">
        <f>+Referanseark!F178+(Referanseark!F178*'P2026 '!$D$1)+233000</f>
        <v>1985.7312000000093</v>
      </c>
      <c r="G178" s="84">
        <f>+Referanseark!G178+(Referanseark!G178*'P2026 '!$D$1)</f>
        <v>-119.504</v>
      </c>
      <c r="H178" s="84">
        <f>+Referanseark!H178+(Referanseark!H178*'P2026 '!$D$1)</f>
        <v>0</v>
      </c>
      <c r="I178" s="84">
        <f>+Referanseark!I178+(Referanseark!I178*'P2026 '!$D$1)</f>
        <v>-57421.671999999999</v>
      </c>
      <c r="J178" s="85"/>
      <c r="K178" s="134">
        <f t="shared" si="14"/>
        <v>-57421.671999999999</v>
      </c>
      <c r="L178" s="130">
        <f t="shared" si="15"/>
        <v>-55555.44479999999</v>
      </c>
    </row>
    <row r="179" spans="1:12" hidden="1" outlineLevel="1" x14ac:dyDescent="0.35">
      <c r="A179" s="37" t="s">
        <v>638</v>
      </c>
      <c r="B179" s="62" t="s">
        <v>639</v>
      </c>
      <c r="C179" s="54" t="s">
        <v>925</v>
      </c>
      <c r="D179" s="84">
        <f>+Referanseark!D179+(Referanseark!D179*'P2026 '!$D$1)</f>
        <v>0</v>
      </c>
      <c r="E179" s="84">
        <f>+Referanseark!E179+(Referanseark!E179*'P2026 '!$D$1)</f>
        <v>0</v>
      </c>
      <c r="F179" s="84">
        <f>+Referanseark!F179+(Referanseark!F179*'P2026 '!$D$1)</f>
        <v>76062.123200000002</v>
      </c>
      <c r="G179" s="84">
        <f>+Referanseark!G179+(Referanseark!G179*'P2026 '!$D$1)</f>
        <v>-119.504</v>
      </c>
      <c r="H179" s="84">
        <f>+Referanseark!H179+(Referanseark!H179*'P2026 '!$D$1)</f>
        <v>0</v>
      </c>
      <c r="I179" s="84">
        <f>+Referanseark!I179+(Referanseark!I179*'P2026 '!$D$1)</f>
        <v>0</v>
      </c>
      <c r="J179" s="85"/>
      <c r="K179" s="134">
        <f t="shared" si="14"/>
        <v>0</v>
      </c>
      <c r="L179" s="130">
        <f t="shared" si="15"/>
        <v>75942.619200000001</v>
      </c>
    </row>
    <row r="180" spans="1:12" hidden="1" outlineLevel="1" x14ac:dyDescent="0.35">
      <c r="A180" s="37" t="s">
        <v>640</v>
      </c>
      <c r="B180" s="62" t="s">
        <v>641</v>
      </c>
      <c r="C180" s="54" t="s">
        <v>925</v>
      </c>
      <c r="D180" s="84">
        <f>+Referanseark!D180+(Referanseark!D180*'P2026 '!$D$1)</f>
        <v>0</v>
      </c>
      <c r="E180" s="84">
        <f>+Referanseark!E180+(Referanseark!E180*'P2026 '!$D$1)</f>
        <v>0</v>
      </c>
      <c r="F180" s="84">
        <f>+Referanseark!F180+(Referanseark!F180*'P2026 '!$D$1)</f>
        <v>-76062.123200000002</v>
      </c>
      <c r="G180" s="84">
        <f>+Referanseark!G180+(Referanseark!G180*'P2026 '!$D$1)</f>
        <v>119.504</v>
      </c>
      <c r="H180" s="84">
        <f>+Referanseark!H180+(Referanseark!H180*'P2026 '!$D$1)</f>
        <v>0</v>
      </c>
      <c r="I180" s="84">
        <f>+Referanseark!I180+(Referanseark!I180*'P2026 '!$D$1)</f>
        <v>0</v>
      </c>
      <c r="J180" s="85"/>
      <c r="K180" s="134">
        <f t="shared" si="14"/>
        <v>0</v>
      </c>
      <c r="L180" s="130">
        <f t="shared" si="15"/>
        <v>-75942.619200000001</v>
      </c>
    </row>
    <row r="181" spans="1:12" hidden="1" outlineLevel="1" x14ac:dyDescent="0.35">
      <c r="A181" s="37" t="s">
        <v>642</v>
      </c>
      <c r="B181" s="62" t="s">
        <v>643</v>
      </c>
      <c r="C181" s="54" t="s">
        <v>925</v>
      </c>
      <c r="D181" s="84">
        <f>+Referanseark!D181+(Referanseark!D181*'P2026 '!$D$1)</f>
        <v>0</v>
      </c>
      <c r="E181" s="84">
        <f>+Referanseark!E181+(Referanseark!E181*'P2026 '!$D$1)</f>
        <v>0</v>
      </c>
      <c r="F181" s="84">
        <f>+Referanseark!F181+(Referanseark!F181*'P2026 '!$D$1)</f>
        <v>0</v>
      </c>
      <c r="G181" s="84">
        <f>+Referanseark!G181+(Referanseark!G181*'P2026 '!$D$1)</f>
        <v>0</v>
      </c>
      <c r="H181" s="84">
        <f>+Referanseark!H181+(Referanseark!H181*'P2026 '!$D$1)</f>
        <v>0</v>
      </c>
      <c r="I181" s="84">
        <f>+Referanseark!I181+(Referanseark!I181*'P2026 '!$D$1)</f>
        <v>0</v>
      </c>
      <c r="J181" s="85"/>
      <c r="K181" s="134">
        <f t="shared" si="14"/>
        <v>0</v>
      </c>
      <c r="L181" s="130">
        <f t="shared" si="15"/>
        <v>0</v>
      </c>
    </row>
    <row r="182" spans="1:12" hidden="1" outlineLevel="1" x14ac:dyDescent="0.35">
      <c r="A182" s="37" t="s">
        <v>644</v>
      </c>
      <c r="B182" s="62" t="s">
        <v>645</v>
      </c>
      <c r="C182" s="54" t="s">
        <v>925</v>
      </c>
      <c r="D182" s="84">
        <f>+Referanseark!D182+(Referanseark!D182*'P2026 '!$D$1)</f>
        <v>0</v>
      </c>
      <c r="E182" s="84">
        <f>+Referanseark!E182+(Referanseark!E182*'P2026 '!$D$1)</f>
        <v>0</v>
      </c>
      <c r="F182" s="84">
        <f>+Referanseark!F182+(Referanseark!F182*'P2026 '!$D$1)</f>
        <v>0</v>
      </c>
      <c r="G182" s="84">
        <f>+Referanseark!G182+(Referanseark!G182*'P2026 '!$D$1)</f>
        <v>0</v>
      </c>
      <c r="H182" s="84">
        <f>+Referanseark!H182+(Referanseark!H182*'P2026 '!$D$1)</f>
        <v>0</v>
      </c>
      <c r="I182" s="84">
        <f>+Referanseark!I182+(Referanseark!I182*'P2026 '!$D$1)</f>
        <v>0</v>
      </c>
      <c r="J182" s="85"/>
      <c r="K182" s="134">
        <f t="shared" si="14"/>
        <v>0</v>
      </c>
      <c r="L182" s="130">
        <f t="shared" si="15"/>
        <v>0</v>
      </c>
    </row>
    <row r="183" spans="1:12" hidden="1" outlineLevel="1" x14ac:dyDescent="0.35">
      <c r="A183" s="37" t="s">
        <v>646</v>
      </c>
      <c r="B183" s="62" t="s">
        <v>647</v>
      </c>
      <c r="C183" s="54" t="s">
        <v>925</v>
      </c>
      <c r="D183" s="84">
        <f>+Referanseark!D183+(Referanseark!D183*'P2026 '!$D$1)</f>
        <v>0</v>
      </c>
      <c r="E183" s="84">
        <f>+Referanseark!E183+(Referanseark!E183*'P2026 '!$D$1)</f>
        <v>0</v>
      </c>
      <c r="F183" s="84">
        <f>+Referanseark!F183+(Referanseark!F183*'P2026 '!$D$1)</f>
        <v>0</v>
      </c>
      <c r="G183" s="84">
        <f>+Referanseark!G183+(Referanseark!G183*'P2026 '!$D$1)</f>
        <v>487.79360000000003</v>
      </c>
      <c r="H183" s="84">
        <f>+Referanseark!H183+(Referanseark!H183*'P2026 '!$D$1)</f>
        <v>0</v>
      </c>
      <c r="I183" s="84">
        <f>+Referanseark!I183+(Referanseark!I183*'P2026 '!$D$1)</f>
        <v>120.5904</v>
      </c>
      <c r="J183" s="85"/>
      <c r="K183" s="134">
        <f t="shared" si="14"/>
        <v>120.5904</v>
      </c>
      <c r="L183" s="130">
        <f t="shared" si="15"/>
        <v>608.38400000000001</v>
      </c>
    </row>
    <row r="184" spans="1:12" hidden="1" outlineLevel="1" x14ac:dyDescent="0.35">
      <c r="A184" s="37" t="s">
        <v>648</v>
      </c>
      <c r="B184" s="62" t="s">
        <v>649</v>
      </c>
      <c r="C184" s="54" t="s">
        <v>925</v>
      </c>
      <c r="D184" s="84">
        <f>+Referanseark!D184+(Referanseark!D184*'P2026 '!$D$1)</f>
        <v>0</v>
      </c>
      <c r="E184" s="84">
        <f>+Referanseark!E184+(Referanseark!E184*'P2026 '!$D$1)</f>
        <v>0</v>
      </c>
      <c r="F184" s="84">
        <f>+Referanseark!F184+(Referanseark!F184*'P2026 '!$D$1)</f>
        <v>0</v>
      </c>
      <c r="G184" s="84">
        <f>+Referanseark!G184+(Referanseark!G184*'P2026 '!$D$1)</f>
        <v>0</v>
      </c>
      <c r="H184" s="84">
        <f>+Referanseark!H184+(Referanseark!H184*'P2026 '!$D$1)</f>
        <v>0</v>
      </c>
      <c r="I184" s="84">
        <f>+Referanseark!I184+(Referanseark!I184*'P2026 '!$D$1)</f>
        <v>0</v>
      </c>
      <c r="J184" s="85"/>
      <c r="K184" s="134">
        <f t="shared" si="14"/>
        <v>0</v>
      </c>
      <c r="L184" s="130">
        <f t="shared" si="15"/>
        <v>0</v>
      </c>
    </row>
    <row r="185" spans="1:12" hidden="1" outlineLevel="1" x14ac:dyDescent="0.35">
      <c r="A185" s="37" t="s">
        <v>650</v>
      </c>
      <c r="B185" s="62" t="s">
        <v>651</v>
      </c>
      <c r="C185" s="54" t="s">
        <v>925</v>
      </c>
      <c r="D185" s="84">
        <f>+Referanseark!D185+(Referanseark!D185*'P2026 '!$D$1)</f>
        <v>0</v>
      </c>
      <c r="E185" s="84">
        <f>+Referanseark!E185+(Referanseark!E185*'P2026 '!$D$1)</f>
        <v>0</v>
      </c>
      <c r="F185" s="84">
        <f>+Referanseark!F185+(Referanseark!F185*'P2026 '!$D$1)</f>
        <v>0</v>
      </c>
      <c r="G185" s="84">
        <f>+Referanseark!G185+(Referanseark!G185*'P2026 '!$D$1)</f>
        <v>0</v>
      </c>
      <c r="H185" s="84">
        <f>+Referanseark!H185+(Referanseark!H185*'P2026 '!$D$1)</f>
        <v>0</v>
      </c>
      <c r="I185" s="84">
        <f>+Referanseark!I185+(Referanseark!I185*'P2026 '!$D$1)</f>
        <v>0</v>
      </c>
      <c r="J185" s="85"/>
      <c r="K185" s="134">
        <f t="shared" si="14"/>
        <v>0</v>
      </c>
      <c r="L185" s="130">
        <f t="shared" si="15"/>
        <v>0</v>
      </c>
    </row>
    <row r="186" spans="1:12" hidden="1" outlineLevel="1" x14ac:dyDescent="0.35">
      <c r="A186" s="37" t="s">
        <v>652</v>
      </c>
      <c r="B186" s="62" t="s">
        <v>653</v>
      </c>
      <c r="C186" s="54" t="s">
        <v>925</v>
      </c>
      <c r="D186" s="84">
        <f>+Referanseark!D186+(Referanseark!D186*'P2026 '!$D$1)</f>
        <v>0</v>
      </c>
      <c r="E186" s="84">
        <f>+Referanseark!E186+(Referanseark!E186*'P2026 '!$D$1)</f>
        <v>0</v>
      </c>
      <c r="F186" s="84">
        <f>+Referanseark!F186+(Referanseark!F186*'P2026 '!$D$1)</f>
        <v>0</v>
      </c>
      <c r="G186" s="84">
        <f>+Referanseark!G186+(Referanseark!G186*'P2026 '!$D$1)</f>
        <v>2849.6271999999999</v>
      </c>
      <c r="H186" s="84">
        <f>+Referanseark!H186+(Referanseark!H186*'P2026 '!$D$1)</f>
        <v>0</v>
      </c>
      <c r="I186" s="84">
        <f>+Referanseark!I186+(Referanseark!I186*'P2026 '!$D$1)</f>
        <v>0</v>
      </c>
      <c r="J186" s="85"/>
      <c r="K186" s="134">
        <f t="shared" si="14"/>
        <v>0</v>
      </c>
      <c r="L186" s="130">
        <f t="shared" si="15"/>
        <v>2849.6271999999999</v>
      </c>
    </row>
    <row r="187" spans="1:12" hidden="1" outlineLevel="1" x14ac:dyDescent="0.35">
      <c r="A187" s="37" t="s">
        <v>654</v>
      </c>
      <c r="B187" s="62" t="s">
        <v>655</v>
      </c>
      <c r="C187" s="54" t="s">
        <v>925</v>
      </c>
      <c r="D187" s="84">
        <f>+Referanseark!D187+(Referanseark!D187*'P2026 '!$D$1)</f>
        <v>0</v>
      </c>
      <c r="E187" s="84">
        <f>+Referanseark!E187+(Referanseark!E187*'P2026 '!$D$1)</f>
        <v>0</v>
      </c>
      <c r="F187" s="84">
        <f>+Referanseark!F187+(Referanseark!F187*'P2026 '!$D$1)</f>
        <v>0</v>
      </c>
      <c r="G187" s="84">
        <f>+Referanseark!G187+(Referanseark!G187*'P2026 '!$D$1)</f>
        <v>0</v>
      </c>
      <c r="H187" s="84">
        <f>+Referanseark!H187+(Referanseark!H187*'P2026 '!$D$1)</f>
        <v>0</v>
      </c>
      <c r="I187" s="84">
        <f>+Referanseark!I187+(Referanseark!I187*'P2026 '!$D$1)</f>
        <v>0</v>
      </c>
      <c r="J187" s="85"/>
      <c r="K187" s="134">
        <f t="shared" si="14"/>
        <v>0</v>
      </c>
      <c r="L187" s="130">
        <f t="shared" si="15"/>
        <v>0</v>
      </c>
    </row>
    <row r="188" spans="1:12" hidden="1" outlineLevel="1" x14ac:dyDescent="0.35">
      <c r="A188" s="55" t="s">
        <v>656</v>
      </c>
      <c r="B188" s="78" t="s">
        <v>657</v>
      </c>
      <c r="C188" s="54" t="s">
        <v>925</v>
      </c>
      <c r="D188" s="84">
        <f>+Referanseark!D188+(Referanseark!D188*'P2026 '!$D$1)</f>
        <v>0</v>
      </c>
      <c r="E188" s="84">
        <f>+Referanseark!E188+(Referanseark!E188*'P2026 '!$D$1)</f>
        <v>0</v>
      </c>
      <c r="F188" s="84">
        <f>+Referanseark!F188+(Referanseark!F188*'P2026 '!$D$1)</f>
        <v>0</v>
      </c>
      <c r="G188" s="84">
        <f>+Referanseark!G188+(Referanseark!G188*'P2026 '!$D$1)</f>
        <v>0</v>
      </c>
      <c r="H188" s="84">
        <f>+Referanseark!H188+(Referanseark!H188*'P2026 '!$D$1)</f>
        <v>0</v>
      </c>
      <c r="I188" s="84">
        <f>+Referanseark!I188+(Referanseark!I188*'P2026 '!$D$1)</f>
        <v>0</v>
      </c>
      <c r="J188" s="85"/>
      <c r="K188" s="134">
        <f t="shared" si="14"/>
        <v>0</v>
      </c>
      <c r="L188" s="130">
        <f t="shared" si="15"/>
        <v>0</v>
      </c>
    </row>
    <row r="189" spans="1:12" hidden="1" outlineLevel="1" x14ac:dyDescent="0.35">
      <c r="A189" s="55" t="s">
        <v>658</v>
      </c>
      <c r="B189" s="78" t="s">
        <v>659</v>
      </c>
      <c r="C189" s="54" t="s">
        <v>925</v>
      </c>
      <c r="D189" s="84">
        <f>+Referanseark!D189+(Referanseark!D189*'P2026 '!$D$1)</f>
        <v>0</v>
      </c>
      <c r="E189" s="84">
        <f>+Referanseark!E189+(Referanseark!E189*'P2026 '!$D$1)</f>
        <v>0</v>
      </c>
      <c r="F189" s="84">
        <f>+Referanseark!F189+(Referanseark!F189*'P2026 '!$D$1)</f>
        <v>0</v>
      </c>
      <c r="G189" s="84">
        <f>+Referanseark!G189+(Referanseark!G189*'P2026 '!$D$1)</f>
        <v>0</v>
      </c>
      <c r="H189" s="84">
        <f>+Referanseark!H189+(Referanseark!H189*'P2026 '!$D$1)</f>
        <v>0</v>
      </c>
      <c r="I189" s="84">
        <f>+Referanseark!I189+(Referanseark!I189*'P2026 '!$D$1)</f>
        <v>0</v>
      </c>
      <c r="J189" s="85"/>
      <c r="K189" s="134">
        <f t="shared" si="14"/>
        <v>0</v>
      </c>
      <c r="L189" s="130">
        <f t="shared" si="15"/>
        <v>0</v>
      </c>
    </row>
    <row r="190" spans="1:12" hidden="1" outlineLevel="1" x14ac:dyDescent="0.35">
      <c r="A190" s="37" t="s">
        <v>660</v>
      </c>
      <c r="B190" s="62" t="s">
        <v>661</v>
      </c>
      <c r="C190" s="54" t="s">
        <v>925</v>
      </c>
      <c r="D190" s="84">
        <f>+Referanseark!D190+(Referanseark!D190*'P2026 '!$D$1)</f>
        <v>0</v>
      </c>
      <c r="E190" s="84">
        <f>+Referanseark!E190+(Referanseark!E190*'P2026 '!$D$1)</f>
        <v>0</v>
      </c>
      <c r="F190" s="84">
        <f>+Referanseark!F190+(Referanseark!F190*'P2026 '!$D$1)</f>
        <v>0</v>
      </c>
      <c r="G190" s="84">
        <f>+Referanseark!G190+(Referanseark!G190*'P2026 '!$D$1)</f>
        <v>0</v>
      </c>
      <c r="H190" s="84">
        <f>+Referanseark!H190+(Referanseark!H190*'P2026 '!$D$1)</f>
        <v>0</v>
      </c>
      <c r="I190" s="84">
        <f>+Referanseark!I190+(Referanseark!I190*'P2026 '!$D$1)</f>
        <v>0</v>
      </c>
      <c r="J190" s="85"/>
      <c r="K190" s="134">
        <f t="shared" si="14"/>
        <v>0</v>
      </c>
      <c r="L190" s="130">
        <f t="shared" si="15"/>
        <v>0</v>
      </c>
    </row>
    <row r="191" spans="1:12" hidden="1" outlineLevel="1" x14ac:dyDescent="0.35">
      <c r="A191" s="37" t="s">
        <v>662</v>
      </c>
      <c r="B191" s="62" t="s">
        <v>663</v>
      </c>
      <c r="C191" s="54" t="s">
        <v>925</v>
      </c>
      <c r="D191" s="84">
        <f>+Referanseark!D191+(Referanseark!D191*'P2026 '!$D$1)</f>
        <v>0</v>
      </c>
      <c r="E191" s="84">
        <f>+Referanseark!E191+(Referanseark!E191*'P2026 '!$D$1)</f>
        <v>0</v>
      </c>
      <c r="F191" s="84">
        <f>+Referanseark!F191+(Referanseark!F191*'P2026 '!$D$1)</f>
        <v>34361.745600000002</v>
      </c>
      <c r="G191" s="84">
        <f>+Referanseark!G191+(Referanseark!G191*'P2026 '!$D$1)</f>
        <v>40173.9856</v>
      </c>
      <c r="H191" s="84">
        <f>+Referanseark!H191+(Referanseark!H191*'P2026 '!$D$1)</f>
        <v>0</v>
      </c>
      <c r="I191" s="84">
        <f>+Referanseark!I191+(Referanseark!I191*'P2026 '!$D$1)</f>
        <v>0</v>
      </c>
      <c r="J191" s="85"/>
      <c r="K191" s="134">
        <f t="shared" si="14"/>
        <v>0</v>
      </c>
      <c r="L191" s="130">
        <f t="shared" si="15"/>
        <v>74535.731200000009</v>
      </c>
    </row>
    <row r="192" spans="1:12" hidden="1" outlineLevel="1" x14ac:dyDescent="0.35">
      <c r="A192" s="37" t="s">
        <v>664</v>
      </c>
      <c r="B192" s="62" t="s">
        <v>665</v>
      </c>
      <c r="C192" s="54" t="s">
        <v>925</v>
      </c>
      <c r="D192" s="84">
        <f>+Referanseark!D192+(Referanseark!D192*'P2026 '!$D$1)</f>
        <v>0</v>
      </c>
      <c r="E192" s="84">
        <f>+Referanseark!E192+(Referanseark!E192*'P2026 '!$D$1)</f>
        <v>0</v>
      </c>
      <c r="F192" s="84">
        <f>+Referanseark!F192+(Referanseark!F192*'P2026 '!$D$1)</f>
        <v>-34361.745600000002</v>
      </c>
      <c r="G192" s="84">
        <f>+Referanseark!G192+(Referanseark!G192*'P2026 '!$D$1)</f>
        <v>-40173.9856</v>
      </c>
      <c r="H192" s="84">
        <f>+Referanseark!H192+(Referanseark!H192*'P2026 '!$D$1)</f>
        <v>0</v>
      </c>
      <c r="I192" s="84">
        <f>+Referanseark!I192+(Referanseark!I192*'P2026 '!$D$1)</f>
        <v>0</v>
      </c>
      <c r="J192" s="85"/>
      <c r="K192" s="134">
        <f t="shared" si="14"/>
        <v>0</v>
      </c>
      <c r="L192" s="130">
        <f t="shared" si="15"/>
        <v>-74535.731200000009</v>
      </c>
    </row>
    <row r="193" spans="1:12" hidden="1" outlineLevel="1" x14ac:dyDescent="0.35">
      <c r="A193" s="37" t="s">
        <v>666</v>
      </c>
      <c r="B193" s="62" t="s">
        <v>667</v>
      </c>
      <c r="C193" s="54" t="s">
        <v>925</v>
      </c>
      <c r="D193" s="84">
        <f>+Referanseark!D193+(Referanseark!D193*'P2026 '!$D$1)</f>
        <v>0</v>
      </c>
      <c r="E193" s="84">
        <f>+Referanseark!E193+(Referanseark!E193*'P2026 '!$D$1)</f>
        <v>0</v>
      </c>
      <c r="F193" s="84">
        <f>+Referanseark!F193+(Referanseark!F193*'P2026 '!$D$1)</f>
        <v>0</v>
      </c>
      <c r="G193" s="84">
        <f>+Referanseark!G193+(Referanseark!G193*'P2026 '!$D$1)</f>
        <v>5125.6351999999997</v>
      </c>
      <c r="H193" s="84">
        <f>+Referanseark!H193+(Referanseark!H193*'P2026 '!$D$1)</f>
        <v>0</v>
      </c>
      <c r="I193" s="84">
        <f>+Referanseark!I193+(Referanseark!I193*'P2026 '!$D$1)</f>
        <v>0</v>
      </c>
      <c r="J193" s="85"/>
      <c r="K193" s="134">
        <f t="shared" si="14"/>
        <v>0</v>
      </c>
      <c r="L193" s="130">
        <f t="shared" si="15"/>
        <v>5125.6351999999997</v>
      </c>
    </row>
    <row r="194" spans="1:12" hidden="1" outlineLevel="1" x14ac:dyDescent="0.35">
      <c r="A194" s="37" t="s">
        <v>668</v>
      </c>
      <c r="B194" s="62" t="s">
        <v>669</v>
      </c>
      <c r="C194" s="54" t="s">
        <v>925</v>
      </c>
      <c r="D194" s="84">
        <f>+Referanseark!D194+(Referanseark!D194*'P2026 '!$D$1)</f>
        <v>0</v>
      </c>
      <c r="E194" s="84">
        <f>+Referanseark!E194+(Referanseark!E194*'P2026 '!$D$1)</f>
        <v>0</v>
      </c>
      <c r="F194" s="84">
        <f>+Referanseark!F194+(Referanseark!F194*'P2026 '!$D$1)</f>
        <v>0</v>
      </c>
      <c r="G194" s="84">
        <f>+Referanseark!G194+(Referanseark!G194*'P2026 '!$D$1)</f>
        <v>0</v>
      </c>
      <c r="H194" s="84">
        <f>+Referanseark!H194+(Referanseark!H194*'P2026 '!$D$1)</f>
        <v>0</v>
      </c>
      <c r="I194" s="84">
        <f>+Referanseark!I194+(Referanseark!I194*'P2026 '!$D$1)</f>
        <v>64912.4</v>
      </c>
      <c r="J194" s="85"/>
      <c r="K194" s="134">
        <f t="shared" si="14"/>
        <v>64912.4</v>
      </c>
      <c r="L194" s="130">
        <f t="shared" si="15"/>
        <v>64912.4</v>
      </c>
    </row>
    <row r="195" spans="1:12" hidden="1" outlineLevel="1" x14ac:dyDescent="0.35">
      <c r="A195" s="37" t="s">
        <v>670</v>
      </c>
      <c r="B195" s="62" t="s">
        <v>671</v>
      </c>
      <c r="C195" s="54" t="s">
        <v>925</v>
      </c>
      <c r="D195" s="84">
        <f>+Referanseark!D195+(Referanseark!D195*'P2026 '!$D$1)</f>
        <v>0</v>
      </c>
      <c r="E195" s="84">
        <f>+Referanseark!E195+(Referanseark!E195*'P2026 '!$D$1)</f>
        <v>0</v>
      </c>
      <c r="F195" s="84">
        <f>+Referanseark!F195+(Referanseark!F195*'P2026 '!$D$1)</f>
        <v>0</v>
      </c>
      <c r="G195" s="84">
        <f>+Referanseark!G195+(Referanseark!G195*'P2026 '!$D$1)</f>
        <v>0</v>
      </c>
      <c r="H195" s="84">
        <f>+Referanseark!H195+(Referanseark!H195*'P2026 '!$D$1)</f>
        <v>0</v>
      </c>
      <c r="I195" s="84">
        <f>+Referanseark!I195+(Referanseark!I195*'P2026 '!$D$1)</f>
        <v>0</v>
      </c>
      <c r="J195" s="85"/>
      <c r="K195" s="134">
        <f t="shared" si="14"/>
        <v>0</v>
      </c>
      <c r="L195" s="130">
        <f t="shared" si="15"/>
        <v>0</v>
      </c>
    </row>
    <row r="196" spans="1:12" collapsed="1" x14ac:dyDescent="0.35">
      <c r="A196" s="37"/>
      <c r="B196" s="62" t="s">
        <v>928</v>
      </c>
      <c r="C196" s="54"/>
      <c r="D196" s="84">
        <f>+Referanseark!D196+(Referanseark!D196*'P2026 '!$D$1)</f>
        <v>0</v>
      </c>
      <c r="E196" s="84">
        <f>+Referanseark!E196+(Referanseark!E196*'P2026 '!$D$1)</f>
        <v>0</v>
      </c>
      <c r="F196" s="84">
        <f>+Referanseark!F196+(Referanseark!F196*'P2026 '!$D$1)</f>
        <v>66269.313599999994</v>
      </c>
      <c r="G196" s="84">
        <f>+Referanseark!G196+(Referanseark!G196*'P2026 '!$D$1)</f>
        <v>191832.16639999999</v>
      </c>
      <c r="H196" s="84">
        <f>+Referanseark!H196+(Referanseark!H196*'P2026 '!$D$1)</f>
        <v>67873.926399999997</v>
      </c>
      <c r="I196" s="84">
        <f>+Referanseark!I196+(Referanseark!I196*'P2026 '!$D$1)</f>
        <v>0</v>
      </c>
      <c r="J196" s="85"/>
      <c r="K196" s="134">
        <f t="shared" si="14"/>
        <v>0</v>
      </c>
      <c r="L196" s="130">
        <f t="shared" si="15"/>
        <v>325975.40639999998</v>
      </c>
    </row>
    <row r="197" spans="1:12" hidden="1" outlineLevel="1" x14ac:dyDescent="0.35">
      <c r="A197" s="37" t="s">
        <v>672</v>
      </c>
      <c r="B197" s="62" t="s">
        <v>673</v>
      </c>
      <c r="C197" s="54" t="s">
        <v>928</v>
      </c>
      <c r="D197" s="84">
        <f>+Referanseark!D197+(Referanseark!D197*'P2026 '!$D$1)</f>
        <v>0</v>
      </c>
      <c r="E197" s="84">
        <f>+Referanseark!E197+(Referanseark!E197*'P2026 '!$D$1)</f>
        <v>0</v>
      </c>
      <c r="F197" s="84">
        <f>+Referanseark!F197+(Referanseark!F197*'P2026 '!$D$1)</f>
        <v>0</v>
      </c>
      <c r="G197" s="84">
        <f>+Referanseark!G197+(Referanseark!G197*'P2026 '!$D$1)</f>
        <v>77699.327999999994</v>
      </c>
      <c r="H197" s="84">
        <f>+Referanseark!H197+(Referanseark!H197*'P2026 '!$D$1)</f>
        <v>0</v>
      </c>
      <c r="I197" s="84">
        <f>+Referanseark!I197+(Referanseark!I197*'P2026 '!$D$1)</f>
        <v>0</v>
      </c>
      <c r="J197" s="85"/>
      <c r="K197" s="134">
        <f t="shared" si="14"/>
        <v>0</v>
      </c>
      <c r="L197" s="130">
        <f t="shared" si="15"/>
        <v>77699.327999999994</v>
      </c>
    </row>
    <row r="198" spans="1:12" hidden="1" outlineLevel="1" x14ac:dyDescent="0.35">
      <c r="A198" s="37" t="s">
        <v>674</v>
      </c>
      <c r="B198" s="62" t="s">
        <v>46</v>
      </c>
      <c r="C198" s="54" t="s">
        <v>928</v>
      </c>
      <c r="D198" s="84">
        <f>+Referanseark!D198+(Referanseark!D198*'P2026 '!$D$1)</f>
        <v>0</v>
      </c>
      <c r="E198" s="84">
        <f>+Referanseark!E198+(Referanseark!E198*'P2026 '!$D$1)</f>
        <v>0</v>
      </c>
      <c r="F198" s="84">
        <f>+Referanseark!F198+(Referanseark!F198*'P2026 '!$D$1)</f>
        <v>0</v>
      </c>
      <c r="G198" s="84">
        <f>+Referanseark!G198+(Referanseark!G198*'P2026 '!$D$1)</f>
        <v>0</v>
      </c>
      <c r="H198" s="84">
        <f>+Referanseark!H198+(Referanseark!H198*'P2026 '!$D$1)</f>
        <v>0</v>
      </c>
      <c r="I198" s="84">
        <f>+Referanseark!I198+(Referanseark!I198*'P2026 '!$D$1)</f>
        <v>0</v>
      </c>
      <c r="J198" s="85"/>
      <c r="K198" s="134">
        <f t="shared" si="14"/>
        <v>0</v>
      </c>
      <c r="L198" s="130">
        <f t="shared" si="15"/>
        <v>0</v>
      </c>
    </row>
    <row r="199" spans="1:12" hidden="1" outlineLevel="1" x14ac:dyDescent="0.35">
      <c r="A199" s="37" t="s">
        <v>675</v>
      </c>
      <c r="B199" s="62" t="s">
        <v>676</v>
      </c>
      <c r="C199" s="54" t="s">
        <v>928</v>
      </c>
      <c r="D199" s="84">
        <f>+Referanseark!D199+(Referanseark!D199*'P2026 '!$D$1)</f>
        <v>0</v>
      </c>
      <c r="E199" s="84">
        <f>+Referanseark!E199+(Referanseark!E199*'P2026 '!$D$1)</f>
        <v>0</v>
      </c>
      <c r="F199" s="84">
        <f>+Referanseark!F199+(Referanseark!F199*'P2026 '!$D$1)</f>
        <v>66269.313599999994</v>
      </c>
      <c r="G199" s="84">
        <f>+Referanseark!G199+(Referanseark!G199*'P2026 '!$D$1)</f>
        <v>83305.152000000002</v>
      </c>
      <c r="H199" s="84">
        <f>+Referanseark!H199+(Referanseark!H199*'P2026 '!$D$1)</f>
        <v>67873.926399999997</v>
      </c>
      <c r="I199" s="84">
        <f>+Referanseark!I199+(Referanseark!I199*'P2026 '!$D$1)</f>
        <v>0</v>
      </c>
      <c r="J199" s="85"/>
      <c r="K199" s="134">
        <f t="shared" si="14"/>
        <v>0</v>
      </c>
      <c r="L199" s="130">
        <f t="shared" si="15"/>
        <v>217448.39199999999</v>
      </c>
    </row>
    <row r="200" spans="1:12" hidden="1" outlineLevel="1" x14ac:dyDescent="0.35">
      <c r="A200" s="37" t="s">
        <v>677</v>
      </c>
      <c r="B200" s="62" t="s">
        <v>678</v>
      </c>
      <c r="C200" s="54" t="s">
        <v>928</v>
      </c>
      <c r="D200" s="84">
        <f>+Referanseark!D200+(Referanseark!D200*'P2026 '!$D$1)</f>
        <v>0</v>
      </c>
      <c r="E200" s="84">
        <f>+Referanseark!E200+(Referanseark!E200*'P2026 '!$D$1)</f>
        <v>0</v>
      </c>
      <c r="F200" s="84">
        <f>+Referanseark!F200+(Referanseark!F200*'P2026 '!$D$1)</f>
        <v>0</v>
      </c>
      <c r="G200" s="84">
        <f>+Referanseark!G200+(Referanseark!G200*'P2026 '!$D$1)</f>
        <v>0</v>
      </c>
      <c r="H200" s="84">
        <f>+Referanseark!H200+(Referanseark!H200*'P2026 '!$D$1)</f>
        <v>0</v>
      </c>
      <c r="I200" s="84">
        <f>+Referanseark!I200+(Referanseark!I200*'P2026 '!$D$1)</f>
        <v>0</v>
      </c>
      <c r="J200" s="85"/>
      <c r="K200" s="134">
        <f t="shared" si="14"/>
        <v>0</v>
      </c>
      <c r="L200" s="130">
        <f t="shared" si="15"/>
        <v>0</v>
      </c>
    </row>
    <row r="201" spans="1:12" collapsed="1" x14ac:dyDescent="0.35">
      <c r="A201" s="37" t="s">
        <v>679</v>
      </c>
      <c r="B201" s="62" t="s">
        <v>680</v>
      </c>
      <c r="C201" s="54" t="s">
        <v>929</v>
      </c>
      <c r="D201" s="84">
        <f>+Referanseark!D201+(Referanseark!D201*'P2026 '!$D$1)</f>
        <v>0</v>
      </c>
      <c r="E201" s="84">
        <f>+Referanseark!E201+(Referanseark!E201*'P2026 '!$D$1)</f>
        <v>0</v>
      </c>
      <c r="F201" s="84">
        <f>+Referanseark!F201+(Referanseark!F201*'P2026 '!$D$1)</f>
        <v>0</v>
      </c>
      <c r="G201" s="84">
        <f>+Referanseark!G201+(Referanseark!G201*'P2026 '!$D$1)</f>
        <v>0</v>
      </c>
      <c r="H201" s="84">
        <f>+Referanseark!H201+(Referanseark!H201*'P2026 '!$D$1)</f>
        <v>0</v>
      </c>
      <c r="I201" s="84">
        <f>+Referanseark!I201+(Referanseark!I201*'P2026 '!$D$1)</f>
        <v>0</v>
      </c>
      <c r="J201" s="85"/>
      <c r="K201" s="134">
        <f t="shared" si="14"/>
        <v>0</v>
      </c>
      <c r="L201" s="130">
        <f t="shared" si="15"/>
        <v>0</v>
      </c>
    </row>
    <row r="202" spans="1:12" s="24" customFormat="1" collapsed="1" x14ac:dyDescent="0.35">
      <c r="A202" s="48"/>
      <c r="B202" s="69" t="s">
        <v>930</v>
      </c>
      <c r="C202" s="79"/>
      <c r="D202" s="89">
        <f>SUM(D203:D284)</f>
        <v>1580491.4608000002</v>
      </c>
      <c r="E202" s="89">
        <f>SUM(E203:E284)</f>
        <v>566128.47199999995</v>
      </c>
      <c r="F202" s="89">
        <f>SUM(F203:F284)</f>
        <v>2148600.1088</v>
      </c>
      <c r="G202" s="89">
        <f>SUM(G203:G284)</f>
        <v>2167702.8479999993</v>
      </c>
      <c r="H202" s="89">
        <f>SUM(H203:H284)</f>
        <v>2608844.7216000003</v>
      </c>
      <c r="I202" s="89">
        <f>SUM(I203:I284)</f>
        <v>194755.66880000001</v>
      </c>
      <c r="J202" s="134">
        <f>SUM(J203:J284)</f>
        <v>862286.71679999994</v>
      </c>
      <c r="K202" s="134">
        <f>I202+J202</f>
        <v>1057042.3855999999</v>
      </c>
      <c r="L202" s="130">
        <f t="shared" ref="L202:L269" si="17">K202+D202+E202+F202+G202+H202</f>
        <v>10128809.9968</v>
      </c>
    </row>
    <row r="203" spans="1:12" hidden="1" outlineLevel="1" x14ac:dyDescent="0.35">
      <c r="A203" s="37" t="s">
        <v>681</v>
      </c>
      <c r="B203" s="62" t="s">
        <v>682</v>
      </c>
      <c r="C203" s="54" t="s">
        <v>930</v>
      </c>
      <c r="D203" s="84">
        <f>+Referanseark!D203+(Referanseark!D203*'P2026 '!$D$1)</f>
        <v>0</v>
      </c>
      <c r="E203" s="84">
        <f>+Referanseark!E203+(Referanseark!E203*'P2026 '!$D$1)</f>
        <v>0</v>
      </c>
      <c r="F203" s="84">
        <f>+Referanseark!F203+(Referanseark!F203*'P2026 '!$D$1)</f>
        <v>0</v>
      </c>
      <c r="G203" s="84">
        <f>+Referanseark!G203+(Referanseark!G203*'P2026 '!$D$1)</f>
        <v>4100.0735999999997</v>
      </c>
      <c r="H203" s="84">
        <f>+Referanseark!H203+(Referanseark!H203*'P2026 '!$D$1)</f>
        <v>0</v>
      </c>
      <c r="I203" s="84">
        <f>+Referanseark!I203+(Referanseark!I203*'P2026 '!$D$1)</f>
        <v>0</v>
      </c>
      <c r="J203" s="134"/>
      <c r="K203" s="134">
        <f t="shared" ref="K203:K270" si="18">I203+J203</f>
        <v>0</v>
      </c>
      <c r="L203" s="130">
        <f t="shared" si="17"/>
        <v>4100.0735999999997</v>
      </c>
    </row>
    <row r="204" spans="1:12" hidden="1" outlineLevel="1" x14ac:dyDescent="0.35">
      <c r="A204" s="37" t="s">
        <v>683</v>
      </c>
      <c r="B204" s="62" t="s">
        <v>684</v>
      </c>
      <c r="C204" s="54" t="s">
        <v>930</v>
      </c>
      <c r="D204" s="84">
        <f>+Referanseark!D204+(Referanseark!D204*'P2026 '!$D$1)</f>
        <v>0</v>
      </c>
      <c r="E204" s="84">
        <f>+Referanseark!E204+(Referanseark!E204*'P2026 '!$D$1)</f>
        <v>0</v>
      </c>
      <c r="F204" s="84">
        <f>+Referanseark!F204+(Referanseark!F204*'P2026 '!$D$1)</f>
        <v>0</v>
      </c>
      <c r="G204" s="84">
        <f>+Referanseark!G204+(Referanseark!G204*'P2026 '!$D$1)</f>
        <v>0</v>
      </c>
      <c r="H204" s="84">
        <f>+Referanseark!H204+(Referanseark!H204*'P2026 '!$D$1)</f>
        <v>0</v>
      </c>
      <c r="I204" s="84">
        <f>+Referanseark!I204+(Referanseark!I204*'P2026 '!$D$1)</f>
        <v>0</v>
      </c>
      <c r="J204" s="134"/>
      <c r="K204" s="134">
        <f t="shared" si="18"/>
        <v>0</v>
      </c>
      <c r="L204" s="130">
        <f t="shared" si="17"/>
        <v>0</v>
      </c>
    </row>
    <row r="205" spans="1:12" hidden="1" outlineLevel="1" x14ac:dyDescent="0.35">
      <c r="A205" s="37" t="s">
        <v>685</v>
      </c>
      <c r="B205" s="62" t="s">
        <v>686</v>
      </c>
      <c r="C205" s="54" t="s">
        <v>930</v>
      </c>
      <c r="D205" s="84">
        <f>+Referanseark!D205+(Referanseark!D205*'P2026 '!$D$1)</f>
        <v>0</v>
      </c>
      <c r="E205" s="84">
        <f>+Referanseark!E205+(Referanseark!E205*'P2026 '!$D$1)</f>
        <v>0</v>
      </c>
      <c r="F205" s="84">
        <f>+Referanseark!F205+(Referanseark!F205*'P2026 '!$D$1)</f>
        <v>0</v>
      </c>
      <c r="G205" s="84">
        <f>+Referanseark!G205+(Referanseark!G205*'P2026 '!$D$1)</f>
        <v>0</v>
      </c>
      <c r="H205" s="84">
        <f>+Referanseark!H205+(Referanseark!H205*'P2026 '!$D$1)</f>
        <v>0</v>
      </c>
      <c r="I205" s="84">
        <f>+Referanseark!I205+(Referanseark!I205*'P2026 '!$D$1)</f>
        <v>0</v>
      </c>
      <c r="J205" s="134"/>
      <c r="K205" s="134">
        <f t="shared" si="18"/>
        <v>0</v>
      </c>
      <c r="L205" s="130">
        <f t="shared" si="17"/>
        <v>0</v>
      </c>
    </row>
    <row r="206" spans="1:12" hidden="1" outlineLevel="1" x14ac:dyDescent="0.35">
      <c r="A206" s="37" t="s">
        <v>687</v>
      </c>
      <c r="B206" s="62" t="s">
        <v>688</v>
      </c>
      <c r="C206" s="54" t="s">
        <v>930</v>
      </c>
      <c r="D206" s="84">
        <f>+Referanseark!D206+(Referanseark!D206*'P2026 '!$D$1)</f>
        <v>0</v>
      </c>
      <c r="E206" s="84">
        <f>+Referanseark!E206+(Referanseark!E206*'P2026 '!$D$1)</f>
        <v>0</v>
      </c>
      <c r="F206" s="84">
        <f>+Referanseark!F206+(Referanseark!F206*'P2026 '!$D$1)</f>
        <v>0</v>
      </c>
      <c r="G206" s="84">
        <f>+Referanseark!G206+(Referanseark!G206*'P2026 '!$D$1)</f>
        <v>0</v>
      </c>
      <c r="H206" s="84">
        <f>+Referanseark!H206+(Referanseark!H206*'P2026 '!$D$1)</f>
        <v>0</v>
      </c>
      <c r="I206" s="84">
        <f>+Referanseark!I206+(Referanseark!I206*'P2026 '!$D$1)</f>
        <v>0</v>
      </c>
      <c r="J206" s="134"/>
      <c r="K206" s="134">
        <f t="shared" si="18"/>
        <v>0</v>
      </c>
      <c r="L206" s="130">
        <f t="shared" si="17"/>
        <v>0</v>
      </c>
    </row>
    <row r="207" spans="1:12" hidden="1" outlineLevel="1" x14ac:dyDescent="0.35">
      <c r="A207" s="37" t="s">
        <v>689</v>
      </c>
      <c r="B207" s="62" t="s">
        <v>690</v>
      </c>
      <c r="C207" s="54" t="s">
        <v>930</v>
      </c>
      <c r="D207" s="84">
        <f>+Referanseark!D207+(Referanseark!D207*'P2026 '!$D$1)</f>
        <v>0</v>
      </c>
      <c r="E207" s="84">
        <f>+Referanseark!E207+(Referanseark!E207*'P2026 '!$D$1)</f>
        <v>0</v>
      </c>
      <c r="F207" s="84">
        <f>+Referanseark!F207+(Referanseark!F207*'P2026 '!$D$1)</f>
        <v>0</v>
      </c>
      <c r="G207" s="84">
        <f>+Referanseark!G207+(Referanseark!G207*'P2026 '!$D$1)</f>
        <v>0</v>
      </c>
      <c r="H207" s="84">
        <f>+Referanseark!H207+(Referanseark!H207*'P2026 '!$D$1)</f>
        <v>11081.28</v>
      </c>
      <c r="I207" s="84">
        <f>+Referanseark!I207+(Referanseark!I207*'P2026 '!$D$1)</f>
        <v>0</v>
      </c>
      <c r="J207" s="134"/>
      <c r="K207" s="134">
        <f t="shared" si="18"/>
        <v>0</v>
      </c>
      <c r="L207" s="130">
        <f t="shared" si="17"/>
        <v>11081.28</v>
      </c>
    </row>
    <row r="208" spans="1:12" hidden="1" outlineLevel="1" x14ac:dyDescent="0.35">
      <c r="A208" s="37" t="s">
        <v>691</v>
      </c>
      <c r="B208" s="62" t="s">
        <v>692</v>
      </c>
      <c r="C208" s="54" t="s">
        <v>930</v>
      </c>
      <c r="D208" s="84">
        <f>+Referanseark!D208+(Referanseark!D208*'P2026 '!$D$1)</f>
        <v>0</v>
      </c>
      <c r="E208" s="84">
        <f>+Referanseark!E208+(Referanseark!E208*'P2026 '!$D$1)</f>
        <v>0</v>
      </c>
      <c r="F208" s="84">
        <f>+Referanseark!F208+(Referanseark!F208*'P2026 '!$D$1)</f>
        <v>238009.59840000002</v>
      </c>
      <c r="G208" s="84">
        <f>+Referanseark!G208+(Referanseark!G208*'P2026 '!$D$1)</f>
        <v>72330.339200000002</v>
      </c>
      <c r="H208" s="84">
        <f>+Referanseark!H208+(Referanseark!H208*'P2026 '!$D$1)</f>
        <v>108119.61440000001</v>
      </c>
      <c r="I208" s="84">
        <f>+Referanseark!I208+(Referanseark!I208*'P2026 '!$D$1)</f>
        <v>27225.184000000001</v>
      </c>
      <c r="J208" s="134"/>
      <c r="K208" s="134">
        <f t="shared" si="18"/>
        <v>27225.184000000001</v>
      </c>
      <c r="L208" s="130">
        <f t="shared" si="17"/>
        <v>445684.73600000003</v>
      </c>
    </row>
    <row r="209" spans="1:12" hidden="1" outlineLevel="1" x14ac:dyDescent="0.35">
      <c r="A209" s="37"/>
      <c r="B209" s="218" t="s">
        <v>1313</v>
      </c>
      <c r="C209" s="121"/>
      <c r="D209" s="119"/>
      <c r="E209" s="119"/>
      <c r="F209" s="119">
        <f>-F208</f>
        <v>-238009.59840000002</v>
      </c>
      <c r="G209" s="119">
        <f t="shared" ref="G209:H209" si="19">-G208</f>
        <v>-72330.339200000002</v>
      </c>
      <c r="H209" s="119">
        <f t="shared" si="19"/>
        <v>-108119.61440000001</v>
      </c>
      <c r="I209" s="119"/>
      <c r="J209" s="133">
        <f>-(F209+G209+H209)</f>
        <v>418459.55200000003</v>
      </c>
      <c r="K209" s="133"/>
      <c r="L209" s="129">
        <f>J209-H209-G209-F209</f>
        <v>836919.10400000005</v>
      </c>
    </row>
    <row r="210" spans="1:12" hidden="1" outlineLevel="1" x14ac:dyDescent="0.35">
      <c r="A210" s="37" t="s">
        <v>693</v>
      </c>
      <c r="B210" s="62" t="s">
        <v>694</v>
      </c>
      <c r="C210" s="54" t="s">
        <v>930</v>
      </c>
      <c r="D210" s="84">
        <f>+Referanseark!D209+(Referanseark!D209*'P2026 '!$D$1)</f>
        <v>0</v>
      </c>
      <c r="E210" s="84">
        <f>+Referanseark!E209+(Referanseark!E209*'P2026 '!$D$1)</f>
        <v>0</v>
      </c>
      <c r="F210" s="84">
        <f>+Referanseark!F209+(Referanseark!F209*'P2026 '!$D$1)</f>
        <v>17920.168000000001</v>
      </c>
      <c r="G210" s="84">
        <f>+Referanseark!G209+(Referanseark!G209*'P2026 '!$D$1)</f>
        <v>6338.0576000000001</v>
      </c>
      <c r="H210" s="84">
        <f>+Referanseark!H209+(Referanseark!H209*'P2026 '!$D$1)</f>
        <v>7663.4655999999995</v>
      </c>
      <c r="I210" s="84">
        <f>+Referanseark!I209+(Referanseark!I209*'P2026 '!$D$1)</f>
        <v>0</v>
      </c>
      <c r="J210" s="134"/>
      <c r="K210" s="134">
        <f t="shared" si="18"/>
        <v>0</v>
      </c>
      <c r="L210" s="130">
        <f t="shared" si="17"/>
        <v>31921.691200000001</v>
      </c>
    </row>
    <row r="211" spans="1:12" hidden="1" outlineLevel="1" x14ac:dyDescent="0.35">
      <c r="A211" s="37" t="s">
        <v>695</v>
      </c>
      <c r="B211" s="62" t="s">
        <v>696</v>
      </c>
      <c r="C211" s="54" t="s">
        <v>930</v>
      </c>
      <c r="D211" s="84">
        <f>+Referanseark!D210+(Referanseark!D210*'P2026 '!$D$1)</f>
        <v>7122.4384</v>
      </c>
      <c r="E211" s="84">
        <f>+Referanseark!E210+(Referanseark!E210*'P2026 '!$D$1)</f>
        <v>14349.171200000001</v>
      </c>
      <c r="F211" s="84">
        <f>+Referanseark!F210+(Referanseark!F210*'P2026 '!$D$1)</f>
        <v>0</v>
      </c>
      <c r="G211" s="84">
        <f>+Referanseark!G210+(Referanseark!G210*'P2026 '!$D$1)</f>
        <v>8482.6111999999994</v>
      </c>
      <c r="H211" s="84">
        <f>+Referanseark!H210+(Referanseark!H210*'P2026 '!$D$1)</f>
        <v>0</v>
      </c>
      <c r="I211" s="84">
        <f>+Referanseark!I210+(Referanseark!I210*'P2026 '!$D$1)</f>
        <v>0</v>
      </c>
      <c r="J211" s="134"/>
      <c r="K211" s="134">
        <f t="shared" si="18"/>
        <v>0</v>
      </c>
      <c r="L211" s="130">
        <f t="shared" si="17"/>
        <v>29954.220799999999</v>
      </c>
    </row>
    <row r="212" spans="1:12" hidden="1" outlineLevel="1" x14ac:dyDescent="0.35">
      <c r="A212" s="37" t="s">
        <v>697</v>
      </c>
      <c r="B212" s="62" t="s">
        <v>698</v>
      </c>
      <c r="C212" s="54" t="s">
        <v>930</v>
      </c>
      <c r="D212" s="84">
        <f>+Referanseark!D211+(Referanseark!D211*'P2026 '!$D$1)</f>
        <v>18606.772799999999</v>
      </c>
      <c r="E212" s="84">
        <f>+Referanseark!E211+(Referanseark!E211*'P2026 '!$D$1)</f>
        <v>36476.966399999998</v>
      </c>
      <c r="F212" s="84">
        <f>+Referanseark!F211+(Referanseark!F211*'P2026 '!$D$1)</f>
        <v>46594.609600000003</v>
      </c>
      <c r="G212" s="84">
        <f>+Referanseark!G211+(Referanseark!G211*'P2026 '!$D$1)</f>
        <v>99860.801600000006</v>
      </c>
      <c r="H212" s="84">
        <f>+Referanseark!H211+(Referanseark!H211*'P2026 '!$D$1)</f>
        <v>93718.296000000002</v>
      </c>
      <c r="I212" s="84">
        <f>+Referanseark!I211+(Referanseark!I211*'P2026 '!$D$1)</f>
        <v>0</v>
      </c>
      <c r="J212" s="134"/>
      <c r="K212" s="134">
        <f t="shared" si="18"/>
        <v>0</v>
      </c>
      <c r="L212" s="130">
        <f t="shared" si="17"/>
        <v>295257.44640000002</v>
      </c>
    </row>
    <row r="213" spans="1:12" hidden="1" outlineLevel="1" x14ac:dyDescent="0.35">
      <c r="A213" s="37" t="s">
        <v>699</v>
      </c>
      <c r="B213" s="62" t="s">
        <v>700</v>
      </c>
      <c r="C213" s="54" t="s">
        <v>930</v>
      </c>
      <c r="D213" s="84">
        <f>+Referanseark!D212+(Referanseark!D212*'P2026 '!$D$1)</f>
        <v>912.57600000000002</v>
      </c>
      <c r="E213" s="84">
        <f>+Referanseark!E212+(Referanseark!E212*'P2026 '!$D$1)</f>
        <v>0</v>
      </c>
      <c r="F213" s="84">
        <f>+Referanseark!F212+(Referanseark!F212*'P2026 '!$D$1)</f>
        <v>0</v>
      </c>
      <c r="G213" s="84">
        <f>+Referanseark!G212+(Referanseark!G212*'P2026 '!$D$1)</f>
        <v>1061.4128000000001</v>
      </c>
      <c r="H213" s="84">
        <f>+Referanseark!H212+(Referanseark!H212*'P2026 '!$D$1)</f>
        <v>39441.752</v>
      </c>
      <c r="I213" s="84">
        <f>+Referanseark!I212+(Referanseark!I212*'P2026 '!$D$1)</f>
        <v>0</v>
      </c>
      <c r="J213" s="134"/>
      <c r="K213" s="134">
        <f t="shared" si="18"/>
        <v>0</v>
      </c>
      <c r="L213" s="130">
        <f t="shared" si="17"/>
        <v>41415.7408</v>
      </c>
    </row>
    <row r="214" spans="1:12" hidden="1" outlineLevel="1" x14ac:dyDescent="0.35">
      <c r="A214" s="37" t="s">
        <v>701</v>
      </c>
      <c r="B214" s="62" t="s">
        <v>702</v>
      </c>
      <c r="C214" s="54" t="s">
        <v>930</v>
      </c>
      <c r="D214" s="84">
        <f>+Referanseark!D213+(Referanseark!D213*'P2026 '!$D$1)</f>
        <v>0</v>
      </c>
      <c r="E214" s="84">
        <f>+Referanseark!E213+(Referanseark!E213*'P2026 '!$D$1)</f>
        <v>0</v>
      </c>
      <c r="F214" s="84">
        <f>+Referanseark!F213+(Referanseark!F213*'P2026 '!$D$1)</f>
        <v>0</v>
      </c>
      <c r="G214" s="84">
        <f>+Referanseark!G213+(Referanseark!G213*'P2026 '!$D$1)</f>
        <v>1742.5855999999999</v>
      </c>
      <c r="H214" s="84">
        <f>+Referanseark!H213+(Referanseark!H213*'P2026 '!$D$1)</f>
        <v>0</v>
      </c>
      <c r="I214" s="84">
        <f>+Referanseark!I213+(Referanseark!I213*'P2026 '!$D$1)</f>
        <v>0</v>
      </c>
      <c r="J214" s="134"/>
      <c r="K214" s="134">
        <f t="shared" si="18"/>
        <v>0</v>
      </c>
      <c r="L214" s="130">
        <f t="shared" si="17"/>
        <v>1742.5855999999999</v>
      </c>
    </row>
    <row r="215" spans="1:12" hidden="1" outlineLevel="1" x14ac:dyDescent="0.35">
      <c r="A215" s="37" t="s">
        <v>703</v>
      </c>
      <c r="B215" s="62" t="s">
        <v>704</v>
      </c>
      <c r="C215" s="54" t="s">
        <v>930</v>
      </c>
      <c r="D215" s="84">
        <f>+Referanseark!D214+(Referanseark!D214*'P2026 '!$D$1)</f>
        <v>0</v>
      </c>
      <c r="E215" s="84">
        <f>+Referanseark!E214+(Referanseark!E214*'P2026 '!$D$1)</f>
        <v>0</v>
      </c>
      <c r="F215" s="84">
        <f>+Referanseark!F214+(Referanseark!F214*'P2026 '!$D$1)</f>
        <v>5801.3760000000002</v>
      </c>
      <c r="G215" s="84">
        <f>+Referanseark!G214+(Referanseark!G214*'P2026 '!$D$1)</f>
        <v>0</v>
      </c>
      <c r="H215" s="84">
        <f>+Referanseark!H214+(Referanseark!H214*'P2026 '!$D$1)</f>
        <v>0</v>
      </c>
      <c r="I215" s="84">
        <f>+Referanseark!I214+(Referanseark!I214*'P2026 '!$D$1)</f>
        <v>0</v>
      </c>
      <c r="J215" s="134"/>
      <c r="K215" s="134">
        <f t="shared" si="18"/>
        <v>0</v>
      </c>
      <c r="L215" s="130">
        <f t="shared" si="17"/>
        <v>5801.3760000000002</v>
      </c>
    </row>
    <row r="216" spans="1:12" hidden="1" outlineLevel="1" x14ac:dyDescent="0.35">
      <c r="A216" s="37" t="s">
        <v>705</v>
      </c>
      <c r="B216" s="62" t="s">
        <v>706</v>
      </c>
      <c r="C216" s="54" t="s">
        <v>930</v>
      </c>
      <c r="D216" s="84">
        <f>+Referanseark!D215+(Referanseark!D215*'P2026 '!$D$1)</f>
        <v>0</v>
      </c>
      <c r="E216" s="84">
        <f>+Referanseark!E215+(Referanseark!E215*'P2026 '!$D$1)</f>
        <v>0</v>
      </c>
      <c r="F216" s="84">
        <f>+Referanseark!F215+(Referanseark!F215*'P2026 '!$D$1)</f>
        <v>0</v>
      </c>
      <c r="G216" s="84">
        <f>+Referanseark!G215+(Referanseark!G215*'P2026 '!$D$1)</f>
        <v>425078.98719999997</v>
      </c>
      <c r="H216" s="84">
        <f>+Referanseark!H215+(Referanseark!H215*'P2026 '!$D$1)</f>
        <v>0</v>
      </c>
      <c r="I216" s="84">
        <f>+Referanseark!I215+(Referanseark!I215*'P2026 '!$D$1)</f>
        <v>0</v>
      </c>
      <c r="J216" s="134"/>
      <c r="K216" s="134">
        <f t="shared" si="18"/>
        <v>0</v>
      </c>
      <c r="L216" s="130">
        <f t="shared" si="17"/>
        <v>425078.98719999997</v>
      </c>
    </row>
    <row r="217" spans="1:12" hidden="1" outlineLevel="1" x14ac:dyDescent="0.35">
      <c r="A217" s="37" t="s">
        <v>707</v>
      </c>
      <c r="B217" s="62" t="s">
        <v>708</v>
      </c>
      <c r="C217" s="54" t="s">
        <v>930</v>
      </c>
      <c r="D217" s="84">
        <f>+Referanseark!D216+(Referanseark!D216*'P2026 '!$D$1)</f>
        <v>0</v>
      </c>
      <c r="E217" s="84">
        <f>+Referanseark!E216+(Referanseark!E216*'P2026 '!$D$1)</f>
        <v>0</v>
      </c>
      <c r="F217" s="84">
        <f>+Referanseark!F216+(Referanseark!F216*'P2026 '!$D$1)</f>
        <v>0</v>
      </c>
      <c r="G217" s="84">
        <f>+Referanseark!G216+(Referanseark!G216*'P2026 '!$D$1)</f>
        <v>760.48</v>
      </c>
      <c r="H217" s="84">
        <f>+Referanseark!H216+(Referanseark!H216*'P2026 '!$D$1)</f>
        <v>0</v>
      </c>
      <c r="I217" s="84">
        <f>+Referanseark!I216+(Referanseark!I216*'P2026 '!$D$1)</f>
        <v>0</v>
      </c>
      <c r="J217" s="134"/>
      <c r="K217" s="134">
        <f t="shared" si="18"/>
        <v>0</v>
      </c>
      <c r="L217" s="130">
        <f t="shared" si="17"/>
        <v>760.48</v>
      </c>
    </row>
    <row r="218" spans="1:12" hidden="1" outlineLevel="1" x14ac:dyDescent="0.35">
      <c r="A218" s="37" t="s">
        <v>709</v>
      </c>
      <c r="B218" s="62" t="s">
        <v>710</v>
      </c>
      <c r="C218" s="54" t="s">
        <v>930</v>
      </c>
      <c r="D218" s="84">
        <f>+Referanseark!D217+(Referanseark!D217*'P2026 '!$D$1)</f>
        <v>0</v>
      </c>
      <c r="E218" s="84">
        <f>+Referanseark!E217+(Referanseark!E217*'P2026 '!$D$1)</f>
        <v>0</v>
      </c>
      <c r="F218" s="84">
        <f>+Referanseark!F217+(Referanseark!F217*'P2026 '!$D$1)</f>
        <v>0</v>
      </c>
      <c r="G218" s="84">
        <f>+Referanseark!G217+(Referanseark!G217*'P2026 '!$D$1)</f>
        <v>0</v>
      </c>
      <c r="H218" s="84">
        <f>+Referanseark!H217+(Referanseark!H217*'P2026 '!$D$1)</f>
        <v>0</v>
      </c>
      <c r="I218" s="84">
        <f>+Referanseark!I217+(Referanseark!I217*'P2026 '!$D$1)</f>
        <v>0</v>
      </c>
      <c r="J218" s="134"/>
      <c r="K218" s="134">
        <f t="shared" si="18"/>
        <v>0</v>
      </c>
      <c r="L218" s="130">
        <f t="shared" si="17"/>
        <v>0</v>
      </c>
    </row>
    <row r="219" spans="1:12" hidden="1" outlineLevel="1" x14ac:dyDescent="0.35">
      <c r="A219" s="37" t="s">
        <v>711</v>
      </c>
      <c r="B219" s="62" t="s">
        <v>712</v>
      </c>
      <c r="C219" s="54" t="s">
        <v>930</v>
      </c>
      <c r="D219" s="84">
        <f>+Referanseark!D218+(Referanseark!D218*'P2026 '!$D$1)</f>
        <v>0</v>
      </c>
      <c r="E219" s="84">
        <f>+Referanseark!E218+(Referanseark!E218*'P2026 '!$D$1)</f>
        <v>0</v>
      </c>
      <c r="F219" s="84">
        <f>+Referanseark!F218+(Referanseark!F218*'P2026 '!$D$1)</f>
        <v>0</v>
      </c>
      <c r="G219" s="84">
        <f>+Referanseark!G218+(Referanseark!G218*'P2026 '!$D$1)</f>
        <v>5767.6976000000004</v>
      </c>
      <c r="H219" s="84">
        <f>+Referanseark!H218+(Referanseark!H218*'P2026 '!$D$1)</f>
        <v>94006.191999999995</v>
      </c>
      <c r="I219" s="84">
        <f>+Referanseark!I218+(Referanseark!I218*'P2026 '!$D$1)</f>
        <v>928.87199999999996</v>
      </c>
      <c r="J219" s="134"/>
      <c r="K219" s="134">
        <f t="shared" si="18"/>
        <v>928.87199999999996</v>
      </c>
      <c r="L219" s="130">
        <f t="shared" si="17"/>
        <v>100702.7616</v>
      </c>
    </row>
    <row r="220" spans="1:12" hidden="1" outlineLevel="1" x14ac:dyDescent="0.35">
      <c r="A220" s="37" t="s">
        <v>713</v>
      </c>
      <c r="B220" s="62" t="s">
        <v>714</v>
      </c>
      <c r="C220" s="54" t="s">
        <v>930</v>
      </c>
      <c r="D220" s="84">
        <f>+Referanseark!D219+(Referanseark!D219*'P2026 '!$D$1)</f>
        <v>0</v>
      </c>
      <c r="E220" s="84">
        <f>+Referanseark!E219+(Referanseark!E219*'P2026 '!$D$1)</f>
        <v>0</v>
      </c>
      <c r="F220" s="84">
        <f>+Referanseark!F219+(Referanseark!F219*'P2026 '!$D$1)</f>
        <v>0</v>
      </c>
      <c r="G220" s="84">
        <f>+Referanseark!G219+(Referanseark!G219*'P2026 '!$D$1)</f>
        <v>15630.0368</v>
      </c>
      <c r="H220" s="84">
        <f>+Referanseark!H219+(Referanseark!H219*'P2026 '!$D$1)</f>
        <v>0</v>
      </c>
      <c r="I220" s="84">
        <f>+Referanseark!I219+(Referanseark!I219*'P2026 '!$D$1)</f>
        <v>0</v>
      </c>
      <c r="J220" s="134"/>
      <c r="K220" s="134">
        <f t="shared" si="18"/>
        <v>0</v>
      </c>
      <c r="L220" s="130">
        <f t="shared" si="17"/>
        <v>15630.0368</v>
      </c>
    </row>
    <row r="221" spans="1:12" hidden="1" outlineLevel="1" x14ac:dyDescent="0.35">
      <c r="A221" s="37" t="s">
        <v>715</v>
      </c>
      <c r="B221" s="62" t="s">
        <v>716</v>
      </c>
      <c r="C221" s="54" t="s">
        <v>930</v>
      </c>
      <c r="D221" s="84">
        <f>+Referanseark!D220+(Referanseark!D220*'P2026 '!$D$1)</f>
        <v>0</v>
      </c>
      <c r="E221" s="84">
        <f>+Referanseark!E220+(Referanseark!E220*'P2026 '!$D$1)</f>
        <v>0</v>
      </c>
      <c r="F221" s="84">
        <f>+Referanseark!F220+(Referanseark!F220*'P2026 '!$D$1)</f>
        <v>0</v>
      </c>
      <c r="G221" s="84">
        <f>+Referanseark!G220+(Referanseark!G220*'P2026 '!$D$1)</f>
        <v>0</v>
      </c>
      <c r="H221" s="84">
        <f>+Referanseark!H220+(Referanseark!H220*'P2026 '!$D$1)</f>
        <v>0</v>
      </c>
      <c r="I221" s="84">
        <f>+Referanseark!I220+(Referanseark!I220*'P2026 '!$D$1)</f>
        <v>13575.654399999999</v>
      </c>
      <c r="J221" s="134"/>
      <c r="K221" s="134">
        <f t="shared" si="18"/>
        <v>13575.654399999999</v>
      </c>
      <c r="L221" s="130">
        <f t="shared" si="17"/>
        <v>13575.654399999999</v>
      </c>
    </row>
    <row r="222" spans="1:12" hidden="1" outlineLevel="1" x14ac:dyDescent="0.35">
      <c r="A222" s="37" t="s">
        <v>717</v>
      </c>
      <c r="B222" s="62" t="s">
        <v>718</v>
      </c>
      <c r="C222" s="54" t="s">
        <v>930</v>
      </c>
      <c r="D222" s="84">
        <f>+Referanseark!D221+(Referanseark!D221*'P2026 '!$D$1)</f>
        <v>0</v>
      </c>
      <c r="E222" s="84">
        <f>+Referanseark!E221+(Referanseark!E221*'P2026 '!$D$1)</f>
        <v>0</v>
      </c>
      <c r="F222" s="84">
        <f>+Referanseark!F221+(Referanseark!F221*'P2026 '!$D$1)</f>
        <v>0</v>
      </c>
      <c r="G222" s="84">
        <f>+Referanseark!G221+(Referanseark!G221*'P2026 '!$D$1)</f>
        <v>0</v>
      </c>
      <c r="H222" s="84">
        <f>+Referanseark!H221+(Referanseark!H221*'P2026 '!$D$1)</f>
        <v>0</v>
      </c>
      <c r="I222" s="84">
        <f>+Referanseark!I221+(Referanseark!I221*'P2026 '!$D$1)</f>
        <v>0</v>
      </c>
      <c r="J222" s="134"/>
      <c r="K222" s="134">
        <f t="shared" si="18"/>
        <v>0</v>
      </c>
      <c r="L222" s="130">
        <f t="shared" si="17"/>
        <v>0</v>
      </c>
    </row>
    <row r="223" spans="1:12" hidden="1" outlineLevel="1" x14ac:dyDescent="0.35">
      <c r="A223" s="37" t="s">
        <v>719</v>
      </c>
      <c r="B223" s="62" t="s">
        <v>720</v>
      </c>
      <c r="C223" s="54" t="s">
        <v>930</v>
      </c>
      <c r="D223" s="84">
        <f>+Referanseark!D222+(Referanseark!D222*'P2026 '!$D$1)</f>
        <v>73368.937600000005</v>
      </c>
      <c r="E223" s="84">
        <f>+Referanseark!E222+(Referanseark!E222*'P2026 '!$D$1)</f>
        <v>19790.948799999998</v>
      </c>
      <c r="F223" s="84">
        <f>+Referanseark!F222+(Referanseark!F222*'P2026 '!$D$1)</f>
        <v>0</v>
      </c>
      <c r="G223" s="84">
        <f>+Referanseark!G222+(Referanseark!G222*'P2026 '!$D$1)</f>
        <v>51802.811199999996</v>
      </c>
      <c r="H223" s="84">
        <f>+Referanseark!H222+(Referanseark!H222*'P2026 '!$D$1)</f>
        <v>28575.5792</v>
      </c>
      <c r="I223" s="84">
        <f>+Referanseark!I222+(Referanseark!I222*'P2026 '!$D$1)</f>
        <v>0</v>
      </c>
      <c r="J223" s="134"/>
      <c r="K223" s="134">
        <f t="shared" si="18"/>
        <v>0</v>
      </c>
      <c r="L223" s="130">
        <f t="shared" si="17"/>
        <v>173538.27680000002</v>
      </c>
    </row>
    <row r="224" spans="1:12" hidden="1" outlineLevel="1" x14ac:dyDescent="0.35">
      <c r="A224" s="37" t="s">
        <v>721</v>
      </c>
      <c r="B224" s="62" t="s">
        <v>722</v>
      </c>
      <c r="C224" s="54" t="s">
        <v>930</v>
      </c>
      <c r="D224" s="84">
        <f>+Referanseark!D223+(Referanseark!D223*'P2026 '!$D$1)</f>
        <v>42750.926399999997</v>
      </c>
      <c r="E224" s="84">
        <f>+Referanseark!E223+(Referanseark!E223*'P2026 '!$D$1)</f>
        <v>90818.694400000008</v>
      </c>
      <c r="F224" s="84">
        <f>+Referanseark!F223+(Referanseark!F223*'P2026 '!$D$1)</f>
        <v>140203.17920000001</v>
      </c>
      <c r="G224" s="84">
        <f>+Referanseark!G223+(Referanseark!G223*'P2026 '!$D$1)</f>
        <v>233709.62719999999</v>
      </c>
      <c r="H224" s="84">
        <f>+Referanseark!H223+(Referanseark!H223*'P2026 '!$D$1)</f>
        <v>295744.15360000002</v>
      </c>
      <c r="I224" s="84">
        <f>+Referanseark!I223+(Referanseark!I223*'P2026 '!$D$1)</f>
        <v>0</v>
      </c>
      <c r="J224" s="134"/>
      <c r="K224" s="134">
        <f t="shared" si="18"/>
        <v>0</v>
      </c>
      <c r="L224" s="130">
        <f>K224+D224+E224+F224+G224+H224</f>
        <v>803226.58080000011</v>
      </c>
    </row>
    <row r="225" spans="1:12" hidden="1" outlineLevel="1" x14ac:dyDescent="0.35">
      <c r="A225" s="37" t="s">
        <v>723</v>
      </c>
      <c r="B225" s="62" t="s">
        <v>724</v>
      </c>
      <c r="C225" s="54" t="s">
        <v>930</v>
      </c>
      <c r="D225" s="84">
        <f>+Referanseark!D224+(Referanseark!D224*'P2026 '!$D$1)</f>
        <v>3658.9951999999998</v>
      </c>
      <c r="E225" s="84">
        <f>+Referanseark!E224+(Referanseark!E224*'P2026 '!$D$1)</f>
        <v>179037.6336</v>
      </c>
      <c r="F225" s="84">
        <f>+Referanseark!F224+(Referanseark!F224*'P2026 '!$D$1)</f>
        <v>425296.2672</v>
      </c>
      <c r="G225" s="84">
        <f>+Referanseark!G224+(Referanseark!G224*'P2026 '!$D$1)</f>
        <v>139453.5632</v>
      </c>
      <c r="H225" s="84">
        <f>+Referanseark!H224+(Referanseark!H224*'P2026 '!$D$1)</f>
        <v>62550.566400000003</v>
      </c>
      <c r="I225" s="84">
        <f>+Referanseark!I224+(Referanseark!I224*'P2026 '!$D$1)</f>
        <v>3313.52</v>
      </c>
      <c r="J225" s="134"/>
      <c r="K225" s="134">
        <f t="shared" si="18"/>
        <v>3313.52</v>
      </c>
      <c r="L225" s="130">
        <f t="shared" si="17"/>
        <v>813310.54559999995</v>
      </c>
    </row>
    <row r="226" spans="1:12" hidden="1" outlineLevel="1" x14ac:dyDescent="0.35">
      <c r="A226" s="37" t="s">
        <v>725</v>
      </c>
      <c r="B226" s="62" t="s">
        <v>726</v>
      </c>
      <c r="C226" s="54" t="s">
        <v>930</v>
      </c>
      <c r="D226" s="84">
        <f>+Referanseark!D225+(Referanseark!D225*'P2026 '!$D$1)</f>
        <v>0</v>
      </c>
      <c r="E226" s="84">
        <f>+Referanseark!E225+(Referanseark!E225*'P2026 '!$D$1)</f>
        <v>0</v>
      </c>
      <c r="F226" s="84">
        <f>+Referanseark!F225+(Referanseark!F225*'P2026 '!$D$1)</f>
        <v>0</v>
      </c>
      <c r="G226" s="84">
        <f>+Referanseark!G225+(Referanseark!G225*'P2026 '!$D$1)</f>
        <v>9617.8991999999998</v>
      </c>
      <c r="H226" s="84">
        <f>+Referanseark!H225+(Referanseark!H225*'P2026 '!$D$1)</f>
        <v>0</v>
      </c>
      <c r="I226" s="84">
        <f>+Referanseark!I225+(Referanseark!I225*'P2026 '!$D$1)</f>
        <v>7778.6239999999998</v>
      </c>
      <c r="J226" s="133">
        <v>20000</v>
      </c>
      <c r="K226" s="134">
        <f t="shared" si="18"/>
        <v>27778.624</v>
      </c>
      <c r="L226" s="130">
        <f t="shared" si="17"/>
        <v>37396.523199999996</v>
      </c>
    </row>
    <row r="227" spans="1:12" hidden="1" outlineLevel="1" x14ac:dyDescent="0.35">
      <c r="A227" s="37" t="s">
        <v>727</v>
      </c>
      <c r="B227" s="62" t="s">
        <v>728</v>
      </c>
      <c r="C227" s="54" t="s">
        <v>930</v>
      </c>
      <c r="D227" s="84">
        <f>+Referanseark!D226+(Referanseark!D226*'P2026 '!$D$1)</f>
        <v>0</v>
      </c>
      <c r="E227" s="84">
        <f>+Referanseark!E226+(Referanseark!E226*'P2026 '!$D$1)</f>
        <v>0</v>
      </c>
      <c r="F227" s="84">
        <f>+Referanseark!F226+(Referanseark!F226*'P2026 '!$D$1)</f>
        <v>0</v>
      </c>
      <c r="G227" s="84">
        <f>+Referanseark!G226+(Referanseark!G226*'P2026 '!$D$1)</f>
        <v>179.256</v>
      </c>
      <c r="H227" s="84">
        <f>+Referanseark!H226+(Referanseark!H226*'P2026 '!$D$1)</f>
        <v>0</v>
      </c>
      <c r="I227" s="84">
        <f>+Referanseark!I226+(Referanseark!I226*'P2026 '!$D$1)</f>
        <v>0</v>
      </c>
      <c r="J227" s="134"/>
      <c r="K227" s="134">
        <f t="shared" si="18"/>
        <v>0</v>
      </c>
      <c r="L227" s="130">
        <f t="shared" si="17"/>
        <v>179.256</v>
      </c>
    </row>
    <row r="228" spans="1:12" hidden="1" outlineLevel="1" x14ac:dyDescent="0.35">
      <c r="A228" s="37" t="s">
        <v>729</v>
      </c>
      <c r="B228" s="62" t="s">
        <v>730</v>
      </c>
      <c r="C228" s="54" t="s">
        <v>930</v>
      </c>
      <c r="D228" s="84">
        <f>+Referanseark!D227+(Referanseark!D227*'P2026 '!$D$1)</f>
        <v>0</v>
      </c>
      <c r="E228" s="84">
        <f>+Referanseark!E227+(Referanseark!E227*'P2026 '!$D$1)</f>
        <v>0</v>
      </c>
      <c r="F228" s="84">
        <f>+Referanseark!F227+(Referanseark!F227*'P2026 '!$D$1)</f>
        <v>0</v>
      </c>
      <c r="G228" s="84">
        <f>+Referanseark!G227+(Referanseark!G227*'P2026 '!$D$1)</f>
        <v>0</v>
      </c>
      <c r="H228" s="84">
        <f>+Referanseark!H227+(Referanseark!H227*'P2026 '!$D$1)</f>
        <v>0</v>
      </c>
      <c r="I228" s="84">
        <f>+Referanseark!I227+(Referanseark!I227*'P2026 '!$D$1)</f>
        <v>0</v>
      </c>
      <c r="J228" s="134"/>
      <c r="K228" s="134">
        <f t="shared" si="18"/>
        <v>0</v>
      </c>
      <c r="L228" s="130">
        <f t="shared" si="17"/>
        <v>0</v>
      </c>
    </row>
    <row r="229" spans="1:12" hidden="1" outlineLevel="1" x14ac:dyDescent="0.35">
      <c r="A229" s="37" t="s">
        <v>731</v>
      </c>
      <c r="B229" s="62" t="s">
        <v>732</v>
      </c>
      <c r="C229" s="54" t="s">
        <v>930</v>
      </c>
      <c r="D229" s="84">
        <f>+Referanseark!D228+(Referanseark!D228*'P2026 '!$D$1)</f>
        <v>406.31360000000001</v>
      </c>
      <c r="E229" s="84">
        <f>+Referanseark!E228+(Referanseark!E228*'P2026 '!$D$1)</f>
        <v>0</v>
      </c>
      <c r="F229" s="84">
        <f>+Referanseark!F228+(Referanseark!F228*'P2026 '!$D$1)</f>
        <v>0</v>
      </c>
      <c r="G229" s="84">
        <f>+Referanseark!G228+(Referanseark!G228*'P2026 '!$D$1)</f>
        <v>44081.7664</v>
      </c>
      <c r="H229" s="84">
        <f>+Referanseark!H228+(Referanseark!H228*'P2026 '!$D$1)</f>
        <v>5787.2528000000002</v>
      </c>
      <c r="I229" s="84">
        <f>+Referanseark!I228+(Referanseark!I228*'P2026 '!$D$1)</f>
        <v>208.58879999999999</v>
      </c>
      <c r="J229" s="134"/>
      <c r="K229" s="134">
        <f t="shared" si="18"/>
        <v>208.58879999999999</v>
      </c>
      <c r="L229" s="130">
        <f t="shared" si="17"/>
        <v>50483.921600000001</v>
      </c>
    </row>
    <row r="230" spans="1:12" hidden="1" outlineLevel="1" x14ac:dyDescent="0.35">
      <c r="A230" s="37" t="s">
        <v>733</v>
      </c>
      <c r="B230" s="62" t="s">
        <v>734</v>
      </c>
      <c r="C230" s="54" t="s">
        <v>930</v>
      </c>
      <c r="D230" s="84">
        <f>+Referanseark!D229+(Referanseark!D229*'P2026 '!$D$1)</f>
        <v>0</v>
      </c>
      <c r="E230" s="84">
        <f>+Referanseark!E229+(Referanseark!E229*'P2026 '!$D$1)</f>
        <v>42218.590400000001</v>
      </c>
      <c r="F230" s="84">
        <f>+Referanseark!F229+(Referanseark!F229*'P2026 '!$D$1)</f>
        <v>0</v>
      </c>
      <c r="G230" s="84">
        <f>+Referanseark!G229+(Referanseark!G229*'P2026 '!$D$1)</f>
        <v>54813.225599999998</v>
      </c>
      <c r="H230" s="84">
        <f>+Referanseark!H229+(Referanseark!H229*'P2026 '!$D$1)</f>
        <v>0</v>
      </c>
      <c r="I230" s="84">
        <f>+Referanseark!I229+(Referanseark!I229*'P2026 '!$D$1)</f>
        <v>0</v>
      </c>
      <c r="J230" s="134"/>
      <c r="K230" s="134">
        <f t="shared" si="18"/>
        <v>0</v>
      </c>
      <c r="L230" s="130">
        <f t="shared" si="17"/>
        <v>97031.815999999992</v>
      </c>
    </row>
    <row r="231" spans="1:12" hidden="1" outlineLevel="1" x14ac:dyDescent="0.35">
      <c r="A231" s="37" t="s">
        <v>735</v>
      </c>
      <c r="B231" s="62" t="s">
        <v>736</v>
      </c>
      <c r="C231" s="54" t="s">
        <v>930</v>
      </c>
      <c r="D231" s="84">
        <f>+Referanseark!D230+(Referanseark!D230*'P2026 '!$D$1)</f>
        <v>1540.5152</v>
      </c>
      <c r="E231" s="84">
        <f>+Referanseark!E230+(Referanseark!E230*'P2026 '!$D$1)</f>
        <v>38516.139199999998</v>
      </c>
      <c r="F231" s="84">
        <f>+Referanseark!F230+(Referanseark!F230*'P2026 '!$D$1)</f>
        <v>636483.73600000003</v>
      </c>
      <c r="G231" s="84">
        <f>+Referanseark!G230+(Referanseark!G230*'P2026 '!$D$1)</f>
        <v>457216.87199999997</v>
      </c>
      <c r="H231" s="84">
        <f>+Referanseark!H230+(Referanseark!H230*'P2026 '!$D$1)</f>
        <v>440254.90879999998</v>
      </c>
      <c r="I231" s="84">
        <f>+Referanseark!I230+(Referanseark!I230*'P2026 '!$D$1)</f>
        <v>0</v>
      </c>
      <c r="J231" s="134"/>
      <c r="K231" s="134">
        <f t="shared" si="18"/>
        <v>0</v>
      </c>
      <c r="L231" s="130">
        <f t="shared" si="17"/>
        <v>1574012.1711999997</v>
      </c>
    </row>
    <row r="232" spans="1:12" hidden="1" outlineLevel="1" x14ac:dyDescent="0.35">
      <c r="A232" s="37" t="s">
        <v>737</v>
      </c>
      <c r="B232" s="62" t="s">
        <v>738</v>
      </c>
      <c r="C232" s="54" t="s">
        <v>930</v>
      </c>
      <c r="D232" s="84">
        <f>+Referanseark!D231+(Referanseark!D231*'P2026 '!$D$1)</f>
        <v>0</v>
      </c>
      <c r="E232" s="84">
        <f>+Referanseark!E231+(Referanseark!E231*'P2026 '!$D$1)</f>
        <v>0</v>
      </c>
      <c r="F232" s="84">
        <f>+Referanseark!F231+(Referanseark!F231*'P2026 '!$D$1)</f>
        <v>0</v>
      </c>
      <c r="G232" s="84">
        <f>+Referanseark!G231+(Referanseark!G231*'P2026 '!$D$1)</f>
        <v>93264.180800000002</v>
      </c>
      <c r="H232" s="84">
        <f>+Referanseark!H231+(Referanseark!H231*'P2026 '!$D$1)</f>
        <v>0</v>
      </c>
      <c r="I232" s="84">
        <f>+Referanseark!I231+(Referanseark!I231*'P2026 '!$D$1)</f>
        <v>0</v>
      </c>
      <c r="J232" s="134"/>
      <c r="K232" s="134">
        <f t="shared" si="18"/>
        <v>0</v>
      </c>
      <c r="L232" s="130">
        <f t="shared" si="17"/>
        <v>93264.180800000002</v>
      </c>
    </row>
    <row r="233" spans="1:12" hidden="1" outlineLevel="1" x14ac:dyDescent="0.35">
      <c r="A233" s="37" t="s">
        <v>739</v>
      </c>
      <c r="B233" s="62" t="s">
        <v>740</v>
      </c>
      <c r="C233" s="54" t="s">
        <v>930</v>
      </c>
      <c r="D233" s="84">
        <f>+Referanseark!D232+(Referanseark!D232*'P2026 '!$D$1)</f>
        <v>1371941.7712000001</v>
      </c>
      <c r="E233" s="84">
        <f>+Referanseark!E232+(Referanseark!E232*'P2026 '!$D$1)</f>
        <v>0</v>
      </c>
      <c r="F233" s="84">
        <f>+Referanseark!F232+(Referanseark!F232*'P2026 '!$D$1)</f>
        <v>0</v>
      </c>
      <c r="G233" s="84">
        <f>+Referanseark!G232+(Referanseark!G232*'P2026 '!$D$1)</f>
        <v>8534.7584000000006</v>
      </c>
      <c r="H233" s="84">
        <f>+Referanseark!H232+(Referanseark!H232*'P2026 '!$D$1)</f>
        <v>796926.54720000003</v>
      </c>
      <c r="I233" s="84">
        <f>+Referanseark!I232+(Referanseark!I232*'P2026 '!$D$1)</f>
        <v>0</v>
      </c>
      <c r="J233" s="134"/>
      <c r="K233" s="134">
        <f t="shared" si="18"/>
        <v>0</v>
      </c>
      <c r="L233" s="130">
        <f t="shared" si="17"/>
        <v>2177403.0767999999</v>
      </c>
    </row>
    <row r="234" spans="1:12" hidden="1" outlineLevel="1" x14ac:dyDescent="0.35">
      <c r="A234" s="37" t="s">
        <v>741</v>
      </c>
      <c r="B234" s="62" t="s">
        <v>742</v>
      </c>
      <c r="C234" s="54" t="s">
        <v>930</v>
      </c>
      <c r="D234" s="84">
        <f>+Referanseark!D233+(Referanseark!D233*'P2026 '!$D$1)</f>
        <v>413.91840000000002</v>
      </c>
      <c r="E234" s="84">
        <f>+Referanseark!E233+(Referanseark!E233*'P2026 '!$D$1)</f>
        <v>0</v>
      </c>
      <c r="F234" s="84">
        <f>+Referanseark!F233+(Referanseark!F233*'P2026 '!$D$1)</f>
        <v>0</v>
      </c>
      <c r="G234" s="84">
        <f>+Referanseark!G233+(Referanseark!G233*'P2026 '!$D$1)</f>
        <v>32814.712</v>
      </c>
      <c r="H234" s="84">
        <f>+Referanseark!H233+(Referanseark!H233*'P2026 '!$D$1)</f>
        <v>155065.1312</v>
      </c>
      <c r="I234" s="84">
        <f>+Referanseark!I233+(Referanseark!I233*'P2026 '!$D$1)</f>
        <v>0</v>
      </c>
      <c r="J234" s="134"/>
      <c r="K234" s="134">
        <f t="shared" si="18"/>
        <v>0</v>
      </c>
      <c r="L234" s="130">
        <f t="shared" si="17"/>
        <v>188293.7616</v>
      </c>
    </row>
    <row r="235" spans="1:12" hidden="1" outlineLevel="1" x14ac:dyDescent="0.35">
      <c r="A235" s="37" t="s">
        <v>743</v>
      </c>
      <c r="B235" s="62" t="s">
        <v>744</v>
      </c>
      <c r="C235" s="54" t="s">
        <v>930</v>
      </c>
      <c r="D235" s="84">
        <f>+Referanseark!D234+(Referanseark!D234*'P2026 '!$D$1)</f>
        <v>0</v>
      </c>
      <c r="E235" s="84">
        <f>+Referanseark!E234+(Referanseark!E234*'P2026 '!$D$1)</f>
        <v>0</v>
      </c>
      <c r="F235" s="84">
        <f>+Referanseark!F234+(Referanseark!F234*'P2026 '!$D$1)</f>
        <v>0</v>
      </c>
      <c r="G235" s="84">
        <f>+Referanseark!G234+(Referanseark!G234*'P2026 '!$D$1)</f>
        <v>0</v>
      </c>
      <c r="H235" s="84">
        <f>+Referanseark!H234+(Referanseark!H234*'P2026 '!$D$1)</f>
        <v>0</v>
      </c>
      <c r="I235" s="84">
        <f>+Referanseark!I234+(Referanseark!I234*'P2026 '!$D$1)</f>
        <v>1267.8288</v>
      </c>
      <c r="J235" s="134"/>
      <c r="K235" s="134">
        <f t="shared" si="18"/>
        <v>1267.8288</v>
      </c>
      <c r="L235" s="130">
        <f t="shared" si="17"/>
        <v>1267.8288</v>
      </c>
    </row>
    <row r="236" spans="1:12" hidden="1" outlineLevel="1" x14ac:dyDescent="0.35">
      <c r="A236" s="37" t="s">
        <v>745</v>
      </c>
      <c r="B236" s="62" t="s">
        <v>746</v>
      </c>
      <c r="C236" s="54" t="s">
        <v>930</v>
      </c>
      <c r="D236" s="84">
        <f>+Referanseark!D235+(Referanseark!D235*'P2026 '!$D$1)</f>
        <v>0</v>
      </c>
      <c r="E236" s="84">
        <f>+Referanseark!E235+(Referanseark!E235*'P2026 '!$D$1)</f>
        <v>0</v>
      </c>
      <c r="F236" s="84">
        <f>+Referanseark!F235+(Referanseark!F235*'P2026 '!$D$1)-100000</f>
        <v>84597.828799999988</v>
      </c>
      <c r="G236" s="84">
        <f>+Referanseark!G235+(Referanseark!G235*'P2026 '!$D$1)-75000</f>
        <v>92251.28</v>
      </c>
      <c r="H236" s="84">
        <f>+Referanseark!H235+(Referanseark!H235*'P2026 '!$D$1)-100000</f>
        <v>74408.483199999988</v>
      </c>
      <c r="I236" s="84">
        <f>+Referanseark!I235+(Referanseark!I235*'P2026 '!$D$1)</f>
        <v>38529.175999999999</v>
      </c>
      <c r="J236" s="134"/>
      <c r="K236" s="134">
        <f t="shared" si="18"/>
        <v>38529.175999999999</v>
      </c>
      <c r="L236" s="130">
        <f t="shared" si="17"/>
        <v>289786.76799999998</v>
      </c>
    </row>
    <row r="237" spans="1:12" hidden="1" outlineLevel="1" x14ac:dyDescent="0.35">
      <c r="A237" s="37"/>
      <c r="B237" s="218" t="s">
        <v>1314</v>
      </c>
      <c r="C237" s="121"/>
      <c r="D237" s="119"/>
      <c r="E237" s="119"/>
      <c r="F237" s="119">
        <f>-F236</f>
        <v>-84597.828799999988</v>
      </c>
      <c r="G237" s="119">
        <f t="shared" ref="G237:H237" si="20">-G236</f>
        <v>-92251.28</v>
      </c>
      <c r="H237" s="119">
        <f t="shared" si="20"/>
        <v>-74408.483199999988</v>
      </c>
      <c r="I237" s="119"/>
      <c r="J237" s="133">
        <f>-(H237+G237+F237)</f>
        <v>251257.59199999998</v>
      </c>
      <c r="K237" s="133"/>
      <c r="L237" s="129"/>
    </row>
    <row r="238" spans="1:12" hidden="1" outlineLevel="1" x14ac:dyDescent="0.35">
      <c r="A238" s="37" t="s">
        <v>747</v>
      </c>
      <c r="B238" s="62" t="s">
        <v>748</v>
      </c>
      <c r="C238" s="54" t="s">
        <v>930</v>
      </c>
      <c r="D238" s="84">
        <f>+Referanseark!D236+(Referanseark!D236*'P2026 '!$D$1)</f>
        <v>2808.3440000000001</v>
      </c>
      <c r="E238" s="84">
        <f>+Referanseark!E236+(Referanseark!E236*'P2026 '!$D$1)</f>
        <v>9123.5871999999999</v>
      </c>
      <c r="F238" s="84">
        <f>+Referanseark!F236+(Referanseark!F236*'P2026 '!$D$1)</f>
        <v>0</v>
      </c>
      <c r="G238" s="84">
        <f>+Referanseark!G236+(Referanseark!G236*'P2026 '!$D$1)</f>
        <v>22254.903999999999</v>
      </c>
      <c r="H238" s="84">
        <f>+Referanseark!H236+(Referanseark!H236*'P2026 '!$D$1)</f>
        <v>0</v>
      </c>
      <c r="I238" s="84">
        <f>+Referanseark!I236+(Referanseark!I236*'P2026 '!$D$1)</f>
        <v>2553.04</v>
      </c>
      <c r="J238" s="134"/>
      <c r="K238" s="134">
        <f t="shared" si="18"/>
        <v>2553.04</v>
      </c>
      <c r="L238" s="130">
        <f t="shared" si="17"/>
        <v>36739.875199999995</v>
      </c>
    </row>
    <row r="239" spans="1:12" hidden="1" outlineLevel="1" x14ac:dyDescent="0.35">
      <c r="A239" s="37" t="s">
        <v>749</v>
      </c>
      <c r="B239" s="62" t="s">
        <v>750</v>
      </c>
      <c r="C239" s="54" t="s">
        <v>930</v>
      </c>
      <c r="D239" s="84">
        <f>+Referanseark!D237+(Referanseark!D237*'P2026 '!$D$1)</f>
        <v>0</v>
      </c>
      <c r="E239" s="84">
        <f>+Referanseark!E237+(Referanseark!E237*'P2026 '!$D$1)</f>
        <v>0</v>
      </c>
      <c r="F239" s="84">
        <f>+Referanseark!F237+(Referanseark!F237*'P2026 '!$D$1)</f>
        <v>0</v>
      </c>
      <c r="G239" s="84">
        <f>+Referanseark!G237+(Referanseark!G237*'P2026 '!$D$1)</f>
        <v>30407.249599999999</v>
      </c>
      <c r="H239" s="84">
        <f>+Referanseark!H237+(Referanseark!H237*'P2026 '!$D$1)</f>
        <v>0</v>
      </c>
      <c r="I239" s="84">
        <f>+Referanseark!I237+(Referanseark!I237*'P2026 '!$D$1)</f>
        <v>0</v>
      </c>
      <c r="J239" s="134"/>
      <c r="K239" s="134">
        <f t="shared" si="18"/>
        <v>0</v>
      </c>
      <c r="L239" s="130">
        <f t="shared" si="17"/>
        <v>30407.249599999999</v>
      </c>
    </row>
    <row r="240" spans="1:12" hidden="1" outlineLevel="1" x14ac:dyDescent="0.35">
      <c r="A240" s="37" t="s">
        <v>751</v>
      </c>
      <c r="B240" s="62" t="s">
        <v>752</v>
      </c>
      <c r="C240" s="54" t="s">
        <v>930</v>
      </c>
      <c r="D240" s="84">
        <f>+Referanseark!D238+(Referanseark!D238*'P2026 '!$D$1)</f>
        <v>0</v>
      </c>
      <c r="E240" s="84">
        <f>+Referanseark!E238+(Referanseark!E238*'P2026 '!$D$1)</f>
        <v>0</v>
      </c>
      <c r="F240" s="84">
        <f>+Referanseark!F238+(Referanseark!F238*'P2026 '!$D$1)</f>
        <v>0</v>
      </c>
      <c r="G240" s="84">
        <f>+Referanseark!G238+(Referanseark!G238*'P2026 '!$D$1)</f>
        <v>5885.0288</v>
      </c>
      <c r="H240" s="84">
        <f>+Referanseark!H238+(Referanseark!H238*'P2026 '!$D$1)</f>
        <v>0</v>
      </c>
      <c r="I240" s="84">
        <f>+Referanseark!I238+(Referanseark!I238*'P2026 '!$D$1)</f>
        <v>0</v>
      </c>
      <c r="J240" s="134"/>
      <c r="K240" s="134">
        <f t="shared" si="18"/>
        <v>0</v>
      </c>
      <c r="L240" s="130">
        <f t="shared" si="17"/>
        <v>5885.0288</v>
      </c>
    </row>
    <row r="241" spans="1:12" hidden="1" outlineLevel="1" x14ac:dyDescent="0.35">
      <c r="A241" s="37" t="s">
        <v>753</v>
      </c>
      <c r="B241" s="62" t="s">
        <v>754</v>
      </c>
      <c r="C241" s="54" t="s">
        <v>930</v>
      </c>
      <c r="D241" s="84">
        <f>+Referanseark!D239+(Referanseark!D239*'P2026 '!$D$1)</f>
        <v>0</v>
      </c>
      <c r="E241" s="84">
        <f>+Referanseark!E239+(Referanseark!E239*'P2026 '!$D$1)</f>
        <v>0</v>
      </c>
      <c r="F241" s="84">
        <f>+Referanseark!F239+(Referanseark!F239*'P2026 '!$D$1)</f>
        <v>0</v>
      </c>
      <c r="G241" s="84">
        <f>+Referanseark!G239+(Referanseark!G239*'P2026 '!$D$1)</f>
        <v>12679.374400000001</v>
      </c>
      <c r="H241" s="84">
        <f>+Referanseark!H239+(Referanseark!H239*'P2026 '!$D$1)</f>
        <v>15060.763199999999</v>
      </c>
      <c r="I241" s="84">
        <f>+Referanseark!I239+(Referanseark!I239*'P2026 '!$D$1)</f>
        <v>10864</v>
      </c>
      <c r="J241" s="134"/>
      <c r="K241" s="134">
        <f t="shared" si="18"/>
        <v>10864</v>
      </c>
      <c r="L241" s="130">
        <f t="shared" si="17"/>
        <v>38604.137600000002</v>
      </c>
    </row>
    <row r="242" spans="1:12" hidden="1" outlineLevel="1" x14ac:dyDescent="0.35">
      <c r="A242" s="37" t="s">
        <v>755</v>
      </c>
      <c r="B242" s="62" t="s">
        <v>756</v>
      </c>
      <c r="C242" s="54" t="s">
        <v>930</v>
      </c>
      <c r="D242" s="84">
        <f>+Referanseark!D240+(Referanseark!D240*'P2026 '!$D$1)</f>
        <v>4648.7056000000002</v>
      </c>
      <c r="E242" s="84">
        <f>+Referanseark!E240+(Referanseark!E240*'P2026 '!$D$1)</f>
        <v>7520.0608000000002</v>
      </c>
      <c r="F242" s="84">
        <f>+Referanseark!F240+(Referanseark!F240*'P2026 '!$D$1)</f>
        <v>6957.3055999999997</v>
      </c>
      <c r="G242" s="84">
        <f>+Referanseark!G240+(Referanseark!G240*'P2026 '!$D$1)</f>
        <v>3798.0544</v>
      </c>
      <c r="H242" s="84">
        <f>+Referanseark!H240+(Referanseark!H240*'P2026 '!$D$1)</f>
        <v>9055.1440000000002</v>
      </c>
      <c r="I242" s="84">
        <f>+Referanseark!I240+(Referanseark!I240*'P2026 '!$D$1)</f>
        <v>92.343999999999994</v>
      </c>
      <c r="J242" s="133">
        <v>20000</v>
      </c>
      <c r="K242" s="134">
        <f t="shared" si="18"/>
        <v>20092.344000000001</v>
      </c>
      <c r="L242" s="130">
        <f t="shared" si="17"/>
        <v>52071.614399999999</v>
      </c>
    </row>
    <row r="243" spans="1:12" hidden="1" outlineLevel="1" x14ac:dyDescent="0.35">
      <c r="A243" s="37" t="s">
        <v>757</v>
      </c>
      <c r="B243" s="62" t="s">
        <v>758</v>
      </c>
      <c r="C243" s="54" t="s">
        <v>930</v>
      </c>
      <c r="D243" s="84">
        <f>+Referanseark!D241+(Referanseark!D241*'P2026 '!$D$1)</f>
        <v>0</v>
      </c>
      <c r="E243" s="84">
        <f>+Referanseark!E241+(Referanseark!E241*'P2026 '!$D$1)</f>
        <v>0</v>
      </c>
      <c r="F243" s="84">
        <f>+Referanseark!F241+(Referanseark!F241*'P2026 '!$D$1)</f>
        <v>15594.185600000001</v>
      </c>
      <c r="G243" s="84">
        <f>+Referanseark!G241+(Referanseark!G241*'P2026 '!$D$1)</f>
        <v>312.88319999999999</v>
      </c>
      <c r="H243" s="84">
        <f>+Referanseark!H241+(Referanseark!H241*'P2026 '!$D$1)</f>
        <v>0</v>
      </c>
      <c r="I243" s="84">
        <f>+Referanseark!I241+(Referanseark!I241*'P2026 '!$D$1)</f>
        <v>0</v>
      </c>
      <c r="J243" s="134"/>
      <c r="K243" s="134">
        <f t="shared" si="18"/>
        <v>0</v>
      </c>
      <c r="L243" s="130">
        <f t="shared" si="17"/>
        <v>15907.068800000001</v>
      </c>
    </row>
    <row r="244" spans="1:12" hidden="1" outlineLevel="1" x14ac:dyDescent="0.35">
      <c r="A244" s="37" t="s">
        <v>759</v>
      </c>
      <c r="B244" s="62" t="s">
        <v>760</v>
      </c>
      <c r="C244" s="54" t="s">
        <v>930</v>
      </c>
      <c r="D244" s="84">
        <f>+Referanseark!D242+(Referanseark!D242*'P2026 '!$D$1)</f>
        <v>0</v>
      </c>
      <c r="E244" s="84">
        <f>+Referanseark!E242+(Referanseark!E242*'P2026 '!$D$1)</f>
        <v>703.98720000000003</v>
      </c>
      <c r="F244" s="84">
        <f>+Referanseark!F242+(Referanseark!F242*'P2026 '!$D$1)</f>
        <v>0</v>
      </c>
      <c r="G244" s="84">
        <f>+Referanseark!G242+(Referanseark!G242*'P2026 '!$D$1)</f>
        <v>41547.195200000002</v>
      </c>
      <c r="H244" s="84">
        <f>+Referanseark!H242+(Referanseark!H242*'P2026 '!$D$1)</f>
        <v>0</v>
      </c>
      <c r="I244" s="84">
        <f>+Referanseark!I242+(Referanseark!I242*'P2026 '!$D$1)</f>
        <v>0</v>
      </c>
      <c r="J244" s="134"/>
      <c r="K244" s="134">
        <f t="shared" si="18"/>
        <v>0</v>
      </c>
      <c r="L244" s="130">
        <f t="shared" si="17"/>
        <v>42251.182400000005</v>
      </c>
    </row>
    <row r="245" spans="1:12" hidden="1" outlineLevel="1" x14ac:dyDescent="0.35">
      <c r="A245" s="37" t="s">
        <v>761</v>
      </c>
      <c r="B245" s="62" t="s">
        <v>762</v>
      </c>
      <c r="C245" s="54" t="s">
        <v>930</v>
      </c>
      <c r="D245" s="84">
        <f>+Referanseark!D243+(Referanseark!D243*'P2026 '!$D$1)</f>
        <v>0</v>
      </c>
      <c r="E245" s="84">
        <f>+Referanseark!E243+(Referanseark!E243*'P2026 '!$D$1)</f>
        <v>0</v>
      </c>
      <c r="F245" s="84">
        <f>+Referanseark!F243+(Referanseark!F243*'P2026 '!$D$1)</f>
        <v>0</v>
      </c>
      <c r="G245" s="84">
        <f>+Referanseark!G243+(Referanseark!G243*'P2026 '!$D$1)</f>
        <v>209.67519999999999</v>
      </c>
      <c r="H245" s="84">
        <f>+Referanseark!H243+(Referanseark!H243*'P2026 '!$D$1)</f>
        <v>0</v>
      </c>
      <c r="I245" s="84">
        <f>+Referanseark!I243+(Referanseark!I243*'P2026 '!$D$1)</f>
        <v>0</v>
      </c>
      <c r="J245" s="134"/>
      <c r="K245" s="134">
        <f t="shared" si="18"/>
        <v>0</v>
      </c>
      <c r="L245" s="130">
        <f t="shared" si="17"/>
        <v>209.67519999999999</v>
      </c>
    </row>
    <row r="246" spans="1:12" hidden="1" outlineLevel="1" x14ac:dyDescent="0.35">
      <c r="A246" s="37" t="s">
        <v>763</v>
      </c>
      <c r="B246" s="62" t="s">
        <v>764</v>
      </c>
      <c r="C246" s="54" t="s">
        <v>930</v>
      </c>
      <c r="D246" s="84">
        <f>+Referanseark!D244+(Referanseark!D244*'P2026 '!$D$1)</f>
        <v>0</v>
      </c>
      <c r="E246" s="84">
        <f>+Referanseark!E244+(Referanseark!E244*'P2026 '!$D$1)</f>
        <v>18213.495999999999</v>
      </c>
      <c r="F246" s="84">
        <f>+Referanseark!F244+(Referanseark!F244*'P2026 '!$D$1)</f>
        <v>0</v>
      </c>
      <c r="G246" s="84">
        <f>+Referanseark!G244+(Referanseark!G244*'P2026 '!$D$1)</f>
        <v>18110.288</v>
      </c>
      <c r="H246" s="84">
        <f>+Referanseark!H244+(Referanseark!H244*'P2026 '!$D$1)</f>
        <v>0</v>
      </c>
      <c r="I246" s="84">
        <f>+Referanseark!I244+(Referanseark!I244*'P2026 '!$D$1)</f>
        <v>4559.6207999999997</v>
      </c>
      <c r="J246" s="134"/>
      <c r="K246" s="134">
        <f t="shared" si="18"/>
        <v>4559.6207999999997</v>
      </c>
      <c r="L246" s="130">
        <f t="shared" si="17"/>
        <v>40883.404800000004</v>
      </c>
    </row>
    <row r="247" spans="1:12" hidden="1" outlineLevel="1" x14ac:dyDescent="0.35">
      <c r="A247" s="37" t="s">
        <v>765</v>
      </c>
      <c r="B247" s="62" t="s">
        <v>766</v>
      </c>
      <c r="C247" s="54" t="s">
        <v>930</v>
      </c>
      <c r="D247" s="84">
        <f>+Referanseark!D245+(Referanseark!D245*'P2026 '!$D$1)</f>
        <v>8489.1296000000002</v>
      </c>
      <c r="E247" s="84">
        <f>+Referanseark!E245+(Referanseark!E245*'P2026 '!$D$1)</f>
        <v>20961.0016</v>
      </c>
      <c r="F247" s="84">
        <f>+Referanseark!F245+(Referanseark!F245*'P2026 '!$D$1)</f>
        <v>93445.609599999996</v>
      </c>
      <c r="G247" s="84">
        <f>+Referanseark!G245+(Referanseark!G245*'P2026 '!$D$1)</f>
        <v>77243.039999999994</v>
      </c>
      <c r="H247" s="84">
        <f>+Referanseark!H245+(Referanseark!H245*'P2026 '!$D$1)</f>
        <v>107816.5088</v>
      </c>
      <c r="I247" s="84">
        <f>+Referanseark!I245+(Referanseark!I245*'P2026 '!$D$1)</f>
        <v>1034.2528</v>
      </c>
      <c r="J247" s="133">
        <v>40000</v>
      </c>
      <c r="K247" s="134">
        <f t="shared" si="18"/>
        <v>41034.252800000002</v>
      </c>
      <c r="L247" s="130">
        <f t="shared" si="17"/>
        <v>348989.54239999998</v>
      </c>
    </row>
    <row r="248" spans="1:12" hidden="1" outlineLevel="1" x14ac:dyDescent="0.35">
      <c r="A248" s="37" t="s">
        <v>767</v>
      </c>
      <c r="B248" s="62" t="s">
        <v>768</v>
      </c>
      <c r="C248" s="54" t="s">
        <v>930</v>
      </c>
      <c r="D248" s="84">
        <f>+Referanseark!D246+(Referanseark!D246*'P2026 '!$D$1)</f>
        <v>0</v>
      </c>
      <c r="E248" s="84">
        <f>+Referanseark!E246+(Referanseark!E246*'P2026 '!$D$1)</f>
        <v>3333.0752000000002</v>
      </c>
      <c r="F248" s="84">
        <f>+Referanseark!F246+(Referanseark!F246*'P2026 '!$D$1)</f>
        <v>177817.60639999999</v>
      </c>
      <c r="G248" s="84">
        <f>+Referanseark!G246+(Referanseark!G246*'P2026 '!$D$1)</f>
        <v>30602.801599999999</v>
      </c>
      <c r="H248" s="84">
        <f>+Referanseark!H246+(Referanseark!H246*'P2026 '!$D$1)</f>
        <v>7922.0288</v>
      </c>
      <c r="I248" s="84">
        <f>+Referanseark!I246+(Referanseark!I246*'P2026 '!$D$1)</f>
        <v>3137.5232000000001</v>
      </c>
      <c r="J248" s="134"/>
      <c r="K248" s="134">
        <f t="shared" si="18"/>
        <v>3137.5232000000001</v>
      </c>
      <c r="L248" s="130">
        <f t="shared" si="17"/>
        <v>222813.03519999998</v>
      </c>
    </row>
    <row r="249" spans="1:12" hidden="1" outlineLevel="1" x14ac:dyDescent="0.35">
      <c r="A249" s="37"/>
      <c r="B249" s="218" t="s">
        <v>1315</v>
      </c>
      <c r="C249" s="121"/>
      <c r="D249" s="119"/>
      <c r="E249" s="119"/>
      <c r="F249" s="119">
        <f>-45000</f>
        <v>-45000</v>
      </c>
      <c r="G249" s="119">
        <f>-25000</f>
        <v>-25000</v>
      </c>
      <c r="H249" s="119">
        <f>-5000</f>
        <v>-5000</v>
      </c>
      <c r="I249" s="119"/>
      <c r="J249" s="133">
        <f>-(H249+G249+F249)</f>
        <v>75000</v>
      </c>
      <c r="K249" s="133"/>
      <c r="L249" s="129">
        <f>J249-H249-G249-F249</f>
        <v>150000</v>
      </c>
    </row>
    <row r="250" spans="1:12" hidden="1" outlineLevel="1" x14ac:dyDescent="0.35">
      <c r="A250" s="37" t="s">
        <v>769</v>
      </c>
      <c r="B250" s="62" t="s">
        <v>770</v>
      </c>
      <c r="C250" s="54" t="s">
        <v>930</v>
      </c>
      <c r="D250" s="84">
        <f>+Referanseark!D247+(Referanseark!D247*'P2026 '!$D$1)</f>
        <v>0</v>
      </c>
      <c r="E250" s="84">
        <f>+Referanseark!E247+(Referanseark!E247*'P2026 '!$D$1)</f>
        <v>0</v>
      </c>
      <c r="F250" s="84">
        <f>+Referanseark!F247+(Referanseark!F247*'P2026 '!$D$1)</f>
        <v>69521.995200000005</v>
      </c>
      <c r="G250" s="84">
        <f>+Referanseark!G247+(Referanseark!G247*'P2026 '!$D$1)</f>
        <v>0</v>
      </c>
      <c r="H250" s="84">
        <f>+Referanseark!H247+(Referanseark!H247*'P2026 '!$D$1)</f>
        <v>0</v>
      </c>
      <c r="I250" s="84">
        <f>+Referanseark!I247+(Referanseark!I247*'P2026 '!$D$1)</f>
        <v>0</v>
      </c>
      <c r="J250" s="134"/>
      <c r="K250" s="134">
        <f t="shared" si="18"/>
        <v>0</v>
      </c>
      <c r="L250" s="130">
        <f t="shared" si="17"/>
        <v>69521.995200000005</v>
      </c>
    </row>
    <row r="251" spans="1:12" hidden="1" outlineLevel="1" x14ac:dyDescent="0.35">
      <c r="A251" s="37" t="s">
        <v>771</v>
      </c>
      <c r="B251" s="62" t="s">
        <v>772</v>
      </c>
      <c r="C251" s="54" t="s">
        <v>930</v>
      </c>
      <c r="D251" s="84">
        <f>+Referanseark!D248+(Referanseark!D248*'P2026 '!$D$1)</f>
        <v>0</v>
      </c>
      <c r="E251" s="84">
        <f>+Referanseark!E248+(Referanseark!E248*'P2026 '!$D$1)</f>
        <v>4043.5808000000002</v>
      </c>
      <c r="F251" s="84">
        <f>+Referanseark!F248+(Referanseark!F248*'P2026 '!$D$1)</f>
        <v>0</v>
      </c>
      <c r="G251" s="84">
        <f>+Referanseark!G248+(Referanseark!G248*'P2026 '!$D$1)</f>
        <v>378.06720000000001</v>
      </c>
      <c r="H251" s="84">
        <f>+Referanseark!H248+(Referanseark!H248*'P2026 '!$D$1)</f>
        <v>222.71199999999999</v>
      </c>
      <c r="I251" s="84">
        <f>+Referanseark!I248+(Referanseark!I248*'P2026 '!$D$1)</f>
        <v>0</v>
      </c>
      <c r="J251" s="134"/>
      <c r="K251" s="134">
        <f t="shared" si="18"/>
        <v>0</v>
      </c>
      <c r="L251" s="130">
        <f t="shared" si="17"/>
        <v>4644.3600000000006</v>
      </c>
    </row>
    <row r="252" spans="1:12" hidden="1" outlineLevel="1" x14ac:dyDescent="0.35">
      <c r="A252" s="37" t="s">
        <v>773</v>
      </c>
      <c r="B252" s="62" t="s">
        <v>774</v>
      </c>
      <c r="C252" s="54" t="s">
        <v>930</v>
      </c>
      <c r="D252" s="84">
        <f>+Referanseark!D249+(Referanseark!D249*'P2026 '!$D$1)</f>
        <v>0</v>
      </c>
      <c r="E252" s="84">
        <f>+Referanseark!E249+(Referanseark!E249*'P2026 '!$D$1)</f>
        <v>0</v>
      </c>
      <c r="F252" s="84">
        <f>+Referanseark!F249+(Referanseark!F249*'P2026 '!$D$1)</f>
        <v>1462.2944</v>
      </c>
      <c r="G252" s="84">
        <f>+Referanseark!G249+(Referanseark!G249*'P2026 '!$D$1)</f>
        <v>7458.1360000000004</v>
      </c>
      <c r="H252" s="84">
        <f>+Referanseark!H249+(Referanseark!H249*'P2026 '!$D$1)</f>
        <v>12057.953600000001</v>
      </c>
      <c r="I252" s="84">
        <f>+Referanseark!I249+(Referanseark!I249*'P2026 '!$D$1)</f>
        <v>0</v>
      </c>
      <c r="J252" s="134"/>
      <c r="K252" s="134">
        <f t="shared" si="18"/>
        <v>0</v>
      </c>
      <c r="L252" s="130">
        <f t="shared" si="17"/>
        <v>20978.384000000002</v>
      </c>
    </row>
    <row r="253" spans="1:12" hidden="1" outlineLevel="1" x14ac:dyDescent="0.35">
      <c r="A253" s="37" t="s">
        <v>775</v>
      </c>
      <c r="B253" s="62" t="s">
        <v>776</v>
      </c>
      <c r="C253" s="54" t="s">
        <v>930</v>
      </c>
      <c r="D253" s="84">
        <f>+Referanseark!D250+(Referanseark!D250*'P2026 '!$D$1)</f>
        <v>0</v>
      </c>
      <c r="E253" s="84">
        <f>+Referanseark!E250+(Referanseark!E250*'P2026 '!$D$1)</f>
        <v>0</v>
      </c>
      <c r="F253" s="84">
        <f>+Referanseark!F250+(Referanseark!F250*'P2026 '!$D$1)</f>
        <v>0</v>
      </c>
      <c r="G253" s="84">
        <f>+Referanseark!G250+(Referanseark!G250*'P2026 '!$D$1)</f>
        <v>434.56</v>
      </c>
      <c r="H253" s="84">
        <f>+Referanseark!H250+(Referanseark!H250*'P2026 '!$D$1)</f>
        <v>11158.4144</v>
      </c>
      <c r="I253" s="84">
        <f>+Referanseark!I250+(Referanseark!I250*'P2026 '!$D$1)</f>
        <v>0</v>
      </c>
      <c r="J253" s="134"/>
      <c r="K253" s="134">
        <f t="shared" si="18"/>
        <v>0</v>
      </c>
      <c r="L253" s="130">
        <f t="shared" si="17"/>
        <v>11592.974399999999</v>
      </c>
    </row>
    <row r="254" spans="1:12" hidden="1" outlineLevel="1" x14ac:dyDescent="0.35">
      <c r="A254" s="37" t="s">
        <v>777</v>
      </c>
      <c r="B254" s="62" t="s">
        <v>778</v>
      </c>
      <c r="C254" s="54" t="s">
        <v>930</v>
      </c>
      <c r="D254" s="84">
        <f>+Referanseark!D251+(Referanseark!D251*'P2026 '!$D$1)</f>
        <v>0</v>
      </c>
      <c r="E254" s="84">
        <f>+Referanseark!E251+(Referanseark!E251*'P2026 '!$D$1)</f>
        <v>0</v>
      </c>
      <c r="F254" s="84">
        <f>+Referanseark!F251+(Referanseark!F251*'P2026 '!$D$1)</f>
        <v>0</v>
      </c>
      <c r="G254" s="84">
        <f>+Referanseark!G251+(Referanseark!G251*'P2026 '!$D$1)</f>
        <v>12260.023999999999</v>
      </c>
      <c r="H254" s="84">
        <f>+Referanseark!H251+(Referanseark!H251*'P2026 '!$D$1)</f>
        <v>0</v>
      </c>
      <c r="I254" s="84">
        <f>+Referanseark!I251+(Referanseark!I251*'P2026 '!$D$1)</f>
        <v>0</v>
      </c>
      <c r="J254" s="134"/>
      <c r="K254" s="134">
        <f t="shared" si="18"/>
        <v>0</v>
      </c>
      <c r="L254" s="130">
        <f t="shared" si="17"/>
        <v>12260.023999999999</v>
      </c>
    </row>
    <row r="255" spans="1:12" hidden="1" outlineLevel="1" x14ac:dyDescent="0.35">
      <c r="A255" s="37" t="s">
        <v>779</v>
      </c>
      <c r="B255" s="62" t="s">
        <v>780</v>
      </c>
      <c r="C255" s="54" t="s">
        <v>930</v>
      </c>
      <c r="D255" s="84">
        <f>+Referanseark!D252+(Referanseark!D252*'P2026 '!$D$1)</f>
        <v>0</v>
      </c>
      <c r="E255" s="84">
        <f>+Referanseark!E252+(Referanseark!E252*'P2026 '!$D$1)</f>
        <v>0</v>
      </c>
      <c r="F255" s="84">
        <f>+Referanseark!F252+(Referanseark!F252*'P2026 '!$D$1)</f>
        <v>0</v>
      </c>
      <c r="G255" s="84">
        <f>+Referanseark!G252+(Referanseark!G252*'P2026 '!$D$1)</f>
        <v>0</v>
      </c>
      <c r="H255" s="84">
        <f>+Referanseark!H252+(Referanseark!H252*'P2026 '!$D$1)</f>
        <v>0</v>
      </c>
      <c r="I255" s="84">
        <f>+Referanseark!I252+(Referanseark!I252*'P2026 '!$D$1)</f>
        <v>0</v>
      </c>
      <c r="J255" s="134"/>
      <c r="K255" s="134">
        <f t="shared" si="18"/>
        <v>0</v>
      </c>
      <c r="L255" s="130">
        <f t="shared" si="17"/>
        <v>0</v>
      </c>
    </row>
    <row r="256" spans="1:12" hidden="1" outlineLevel="1" x14ac:dyDescent="0.35">
      <c r="A256" s="37" t="s">
        <v>781</v>
      </c>
      <c r="B256" s="62" t="s">
        <v>782</v>
      </c>
      <c r="C256" s="54" t="s">
        <v>930</v>
      </c>
      <c r="D256" s="84">
        <f>+Referanseark!D253+(Referanseark!D253*'P2026 '!$D$1)</f>
        <v>0</v>
      </c>
      <c r="E256" s="84">
        <f>+Referanseark!E253+(Referanseark!E253*'P2026 '!$D$1)</f>
        <v>0</v>
      </c>
      <c r="F256" s="84">
        <f>+Referanseark!F253+(Referanseark!F253*'P2026 '!$D$1)</f>
        <v>0</v>
      </c>
      <c r="G256" s="84">
        <f>+Referanseark!G253+(Referanseark!G253*'P2026 '!$D$1)</f>
        <v>22538.454399999999</v>
      </c>
      <c r="H256" s="84">
        <f>+Referanseark!H253+(Referanseark!H253*'P2026 '!$D$1)</f>
        <v>5031.1184000000003</v>
      </c>
      <c r="I256" s="84">
        <f>+Referanseark!I253+(Referanseark!I253*'P2026 '!$D$1)</f>
        <v>26192.017599999999</v>
      </c>
      <c r="J256" s="134"/>
      <c r="K256" s="134">
        <f t="shared" si="18"/>
        <v>26192.017599999999</v>
      </c>
      <c r="L256" s="130">
        <f t="shared" si="17"/>
        <v>53761.590399999994</v>
      </c>
    </row>
    <row r="257" spans="1:12" hidden="1" outlineLevel="1" x14ac:dyDescent="0.35">
      <c r="A257" s="37"/>
      <c r="B257" s="218" t="s">
        <v>1316</v>
      </c>
      <c r="C257" s="121"/>
      <c r="D257" s="119"/>
      <c r="E257" s="119"/>
      <c r="F257" s="119">
        <v>-10000</v>
      </c>
      <c r="G257" s="119">
        <f>-G256</f>
        <v>-22538.454399999999</v>
      </c>
      <c r="H257" s="119">
        <f>-H256</f>
        <v>-5031.1184000000003</v>
      </c>
      <c r="I257" s="119"/>
      <c r="J257" s="133">
        <f>-(H257+G257+F257)</f>
        <v>37569.572799999994</v>
      </c>
      <c r="K257" s="133"/>
      <c r="L257" s="129"/>
    </row>
    <row r="258" spans="1:12" hidden="1" outlineLevel="1" x14ac:dyDescent="0.35">
      <c r="A258" s="37" t="s">
        <v>783</v>
      </c>
      <c r="B258" s="62" t="s">
        <v>784</v>
      </c>
      <c r="C258" s="54" t="s">
        <v>930</v>
      </c>
      <c r="D258" s="84">
        <f>+Referanseark!D254+(Referanseark!D254*'P2026 '!$D$1)</f>
        <v>0</v>
      </c>
      <c r="E258" s="84">
        <f>+Referanseark!E254+(Referanseark!E254*'P2026 '!$D$1)</f>
        <v>0</v>
      </c>
      <c r="F258" s="84">
        <f>+Referanseark!F254+(Referanseark!F254*'P2026 '!$D$1)-10000</f>
        <v>116430.8864</v>
      </c>
      <c r="G258" s="84">
        <f>+Referanseark!G254+(Referanseark!G254*'P2026 '!$D$1)</f>
        <v>33316.628799999999</v>
      </c>
      <c r="H258" s="84">
        <f>+Referanseark!H254+(Referanseark!H254*'P2026 '!$D$1)</f>
        <v>56416.752</v>
      </c>
      <c r="I258" s="84">
        <f>+Referanseark!I254+(Referanseark!I254*'P2026 '!$D$1)</f>
        <v>0</v>
      </c>
      <c r="J258" s="134"/>
      <c r="K258" s="134">
        <f t="shared" si="18"/>
        <v>0</v>
      </c>
      <c r="L258" s="130">
        <f t="shared" si="17"/>
        <v>206164.2672</v>
      </c>
    </row>
    <row r="259" spans="1:12" hidden="1" outlineLevel="1" x14ac:dyDescent="0.35">
      <c r="A259" s="37" t="s">
        <v>785</v>
      </c>
      <c r="B259" s="62" t="s">
        <v>786</v>
      </c>
      <c r="C259" s="54" t="s">
        <v>930</v>
      </c>
      <c r="D259" s="84">
        <f>+Referanseark!D255+(Referanseark!D255*'P2026 '!$D$1)</f>
        <v>2574.768</v>
      </c>
      <c r="E259" s="84">
        <f>+Referanseark!E255+(Referanseark!E255*'P2026 '!$D$1)</f>
        <v>0</v>
      </c>
      <c r="F259" s="84">
        <f>+Referanseark!F255+(Referanseark!F255*'P2026 '!$D$1)</f>
        <v>0</v>
      </c>
      <c r="G259" s="84">
        <f>+Referanseark!G255+(Referanseark!G255*'P2026 '!$D$1)</f>
        <v>0</v>
      </c>
      <c r="H259" s="84">
        <f>+Referanseark!H255+(Referanseark!H255*'P2026 '!$D$1)</f>
        <v>0</v>
      </c>
      <c r="I259" s="84">
        <f>+Referanseark!I255+(Referanseark!I255*'P2026 '!$D$1)</f>
        <v>0</v>
      </c>
      <c r="J259" s="134"/>
      <c r="K259" s="134">
        <f t="shared" si="18"/>
        <v>0</v>
      </c>
      <c r="L259" s="130">
        <f t="shared" si="17"/>
        <v>2574.768</v>
      </c>
    </row>
    <row r="260" spans="1:12" hidden="1" outlineLevel="1" x14ac:dyDescent="0.35">
      <c r="A260" s="37" t="s">
        <v>787</v>
      </c>
      <c r="B260" s="62" t="s">
        <v>788</v>
      </c>
      <c r="C260" s="54" t="s">
        <v>930</v>
      </c>
      <c r="D260" s="84">
        <f>+Referanseark!D256+(Referanseark!D256*'P2026 '!$D$1)</f>
        <v>0</v>
      </c>
      <c r="E260" s="84">
        <f>+Referanseark!E256+(Referanseark!E256*'P2026 '!$D$1)</f>
        <v>4072.9135999999999</v>
      </c>
      <c r="F260" s="84">
        <f>+Referanseark!F256+(Referanseark!F256*'P2026 '!$D$1)</f>
        <v>12666.337600000001</v>
      </c>
      <c r="G260" s="84">
        <f>+Referanseark!G256+(Referanseark!G256*'P2026 '!$D$1)</f>
        <v>23573.793600000001</v>
      </c>
      <c r="H260" s="84">
        <f>+Referanseark!H256+(Referanseark!H256*'P2026 '!$D$1)</f>
        <v>15070.540800000001</v>
      </c>
      <c r="I260" s="84">
        <f>+Referanseark!I256+(Referanseark!I256*'P2026 '!$D$1)</f>
        <v>17684.4192</v>
      </c>
      <c r="J260" s="134"/>
      <c r="K260" s="134">
        <f t="shared" si="18"/>
        <v>17684.4192</v>
      </c>
      <c r="L260" s="130">
        <f t="shared" si="17"/>
        <v>73068.00480000001</v>
      </c>
    </row>
    <row r="261" spans="1:12" hidden="1" outlineLevel="1" x14ac:dyDescent="0.35">
      <c r="A261" s="37" t="s">
        <v>789</v>
      </c>
      <c r="B261" s="62" t="s">
        <v>790</v>
      </c>
      <c r="C261" s="54" t="s">
        <v>930</v>
      </c>
      <c r="D261" s="84">
        <f>+Referanseark!D257+(Referanseark!D257*'P2026 '!$D$1)</f>
        <v>0</v>
      </c>
      <c r="E261" s="84">
        <f>+Referanseark!E257+(Referanseark!E257*'P2026 '!$D$1)</f>
        <v>0</v>
      </c>
      <c r="F261" s="84">
        <f>+Referanseark!F257+(Referanseark!F257*'P2026 '!$D$1)</f>
        <v>0</v>
      </c>
      <c r="G261" s="84">
        <f>+Referanseark!G257+(Referanseark!G257*'P2026 '!$D$1)</f>
        <v>0</v>
      </c>
      <c r="H261" s="84">
        <f>+Referanseark!H257+(Referanseark!H257*'P2026 '!$D$1)</f>
        <v>0</v>
      </c>
      <c r="I261" s="84">
        <f>+Referanseark!I257+(Referanseark!I257*'P2026 '!$D$1)</f>
        <v>0</v>
      </c>
      <c r="J261" s="134"/>
      <c r="K261" s="134">
        <f t="shared" si="18"/>
        <v>0</v>
      </c>
      <c r="L261" s="130">
        <f t="shared" si="17"/>
        <v>0</v>
      </c>
    </row>
    <row r="262" spans="1:12" hidden="1" outlineLevel="1" x14ac:dyDescent="0.35">
      <c r="A262" s="37" t="s">
        <v>791</v>
      </c>
      <c r="B262" s="62" t="s">
        <v>792</v>
      </c>
      <c r="C262" s="54" t="s">
        <v>930</v>
      </c>
      <c r="D262" s="84">
        <f>+Referanseark!D258+(Referanseark!D258*'P2026 '!$D$1)</f>
        <v>0</v>
      </c>
      <c r="E262" s="84">
        <f>+Referanseark!E258+(Referanseark!E258*'P2026 '!$D$1)</f>
        <v>0</v>
      </c>
      <c r="F262" s="84">
        <f>+Referanseark!F258+(Referanseark!F258*'P2026 '!$D$1)</f>
        <v>0</v>
      </c>
      <c r="G262" s="84">
        <f>+Referanseark!G258+(Referanseark!G258*'P2026 '!$D$1)</f>
        <v>0</v>
      </c>
      <c r="H262" s="84">
        <f>+Referanseark!H258+(Referanseark!H258*'P2026 '!$D$1)</f>
        <v>70.616</v>
      </c>
      <c r="I262" s="84">
        <f>+Referanseark!I258+(Referanseark!I258*'P2026 '!$D$1)</f>
        <v>0</v>
      </c>
      <c r="J262" s="134"/>
      <c r="K262" s="134">
        <f t="shared" si="18"/>
        <v>0</v>
      </c>
      <c r="L262" s="130">
        <f t="shared" si="17"/>
        <v>70.616</v>
      </c>
    </row>
    <row r="263" spans="1:12" hidden="1" outlineLevel="1" x14ac:dyDescent="0.35">
      <c r="A263" s="37" t="s">
        <v>793</v>
      </c>
      <c r="B263" s="62" t="s">
        <v>794</v>
      </c>
      <c r="C263" s="54" t="s">
        <v>930</v>
      </c>
      <c r="D263" s="84">
        <f>+Referanseark!D259+(Referanseark!D259*'P2026 '!$D$1)</f>
        <v>2390.08</v>
      </c>
      <c r="E263" s="84">
        <f>+Referanseark!E259+(Referanseark!E259*'P2026 '!$D$1)</f>
        <v>18053.7952</v>
      </c>
      <c r="F263" s="84">
        <f>+Referanseark!F259+(Referanseark!F259*'P2026 '!$D$1)</f>
        <v>51324.7952</v>
      </c>
      <c r="G263" s="84">
        <f>+Referanseark!G259+(Referanseark!G259*'P2026 '!$D$1)</f>
        <v>5757.92</v>
      </c>
      <c r="H263" s="84">
        <f>+Referanseark!H259+(Referanseark!H259*'P2026 '!$D$1)</f>
        <v>71952.271999999997</v>
      </c>
      <c r="I263" s="84">
        <f>+Referanseark!I259+(Referanseark!I259*'P2026 '!$D$1)</f>
        <v>0</v>
      </c>
      <c r="J263" s="134"/>
      <c r="K263" s="134">
        <f t="shared" si="18"/>
        <v>0</v>
      </c>
      <c r="L263" s="130">
        <f t="shared" si="17"/>
        <v>149478.86239999998</v>
      </c>
    </row>
    <row r="264" spans="1:12" hidden="1" outlineLevel="1" x14ac:dyDescent="0.35">
      <c r="A264" s="37" t="s">
        <v>795</v>
      </c>
      <c r="B264" s="62" t="s">
        <v>796</v>
      </c>
      <c r="C264" s="54" t="s">
        <v>930</v>
      </c>
      <c r="D264" s="84">
        <f>+Referanseark!D260+(Referanseark!D260*'P2026 '!$D$1)</f>
        <v>0</v>
      </c>
      <c r="E264" s="84">
        <f>+Referanseark!E260+(Referanseark!E260*'P2026 '!$D$1)</f>
        <v>0</v>
      </c>
      <c r="F264" s="84">
        <f>+Referanseark!F260+(Referanseark!F260*'P2026 '!$D$1)</f>
        <v>0</v>
      </c>
      <c r="G264" s="84">
        <f>+Referanseark!G260+(Referanseark!G260*'P2026 '!$D$1)</f>
        <v>3153.8191999999999</v>
      </c>
      <c r="H264" s="84">
        <f>+Referanseark!H260+(Referanseark!H260*'P2026 '!$D$1)</f>
        <v>0</v>
      </c>
      <c r="I264" s="84">
        <f>+Referanseark!I260+(Referanseark!I260*'P2026 '!$D$1)</f>
        <v>3620.9712</v>
      </c>
      <c r="J264" s="134"/>
      <c r="K264" s="134">
        <f t="shared" si="18"/>
        <v>3620.9712</v>
      </c>
      <c r="L264" s="130">
        <f t="shared" si="17"/>
        <v>6774.7903999999999</v>
      </c>
    </row>
    <row r="265" spans="1:12" hidden="1" outlineLevel="1" x14ac:dyDescent="0.35">
      <c r="A265" s="37" t="s">
        <v>797</v>
      </c>
      <c r="B265" s="62" t="s">
        <v>798</v>
      </c>
      <c r="C265" s="54" t="s">
        <v>930</v>
      </c>
      <c r="D265" s="84">
        <f>+Referanseark!D261+(Referanseark!D261*'P2026 '!$D$1)</f>
        <v>0</v>
      </c>
      <c r="E265" s="84">
        <f>+Referanseark!E261+(Referanseark!E261*'P2026 '!$D$1)</f>
        <v>0</v>
      </c>
      <c r="F265" s="84">
        <f>+Referanseark!F261+(Referanseark!F261*'P2026 '!$D$1)</f>
        <v>0</v>
      </c>
      <c r="G265" s="84">
        <f>+Referanseark!G261+(Referanseark!G261*'P2026 '!$D$1)</f>
        <v>0</v>
      </c>
      <c r="H265" s="84">
        <f>+Referanseark!H261+(Referanseark!H261*'P2026 '!$D$1)</f>
        <v>0</v>
      </c>
      <c r="I265" s="84">
        <f>+Referanseark!I261+(Referanseark!I261*'P2026 '!$D$1)</f>
        <v>0</v>
      </c>
      <c r="J265" s="134"/>
      <c r="K265" s="134">
        <f t="shared" si="18"/>
        <v>0</v>
      </c>
      <c r="L265" s="130">
        <f t="shared" si="17"/>
        <v>0</v>
      </c>
    </row>
    <row r="266" spans="1:12" hidden="1" outlineLevel="1" x14ac:dyDescent="0.35">
      <c r="A266" s="37" t="s">
        <v>799</v>
      </c>
      <c r="B266" s="62" t="s">
        <v>800</v>
      </c>
      <c r="C266" s="54" t="s">
        <v>930</v>
      </c>
      <c r="D266" s="84">
        <f>+Referanseark!D262+(Referanseark!D262*'P2026 '!$D$1)</f>
        <v>0</v>
      </c>
      <c r="E266" s="84">
        <f>+Referanseark!E262+(Referanseark!E262*'P2026 '!$D$1)</f>
        <v>0</v>
      </c>
      <c r="F266" s="84">
        <f>+Referanseark!F262+(Referanseark!F262*'P2026 '!$D$1)</f>
        <v>0</v>
      </c>
      <c r="G266" s="84">
        <f>+Referanseark!G262+(Referanseark!G262*'P2026 '!$D$1)</f>
        <v>4159.8256000000001</v>
      </c>
      <c r="H266" s="84">
        <f>+Referanseark!H262+(Referanseark!H262*'P2026 '!$D$1)</f>
        <v>0</v>
      </c>
      <c r="I266" s="84">
        <f>+Referanseark!I262+(Referanseark!I262*'P2026 '!$D$1)</f>
        <v>0</v>
      </c>
      <c r="J266" s="134"/>
      <c r="K266" s="134">
        <f t="shared" si="18"/>
        <v>0</v>
      </c>
      <c r="L266" s="130">
        <f>K266+D266+E266+F266+G266+H266</f>
        <v>4159.8256000000001</v>
      </c>
    </row>
    <row r="267" spans="1:12" hidden="1" outlineLevel="1" x14ac:dyDescent="0.35">
      <c r="A267" s="37" t="s">
        <v>801</v>
      </c>
      <c r="B267" s="62" t="s">
        <v>802</v>
      </c>
      <c r="C267" s="54" t="s">
        <v>930</v>
      </c>
      <c r="D267" s="84">
        <f>+Referanseark!D263+(Referanseark!D263*'P2026 '!$D$1)</f>
        <v>0</v>
      </c>
      <c r="E267" s="84">
        <f>+Referanseark!E263+(Referanseark!E263*'P2026 '!$D$1)</f>
        <v>20264.619200000001</v>
      </c>
      <c r="F267" s="84">
        <f>+Referanseark!F263+(Referanseark!F263*'P2026 '!$D$1)</f>
        <v>0</v>
      </c>
      <c r="G267" s="84">
        <f>+Referanseark!G263+(Referanseark!G263*'P2026 '!$D$1)</f>
        <v>76304.390400000004</v>
      </c>
      <c r="H267" s="84">
        <f>+Referanseark!H263+(Referanseark!H263*'P2026 '!$D$1)</f>
        <v>3338.5072</v>
      </c>
      <c r="I267" s="84">
        <f>+Referanseark!I263+(Referanseark!I263*'P2026 '!$D$1)</f>
        <v>0</v>
      </c>
      <c r="J267" s="134"/>
      <c r="K267" s="134">
        <f t="shared" si="18"/>
        <v>0</v>
      </c>
      <c r="L267" s="130">
        <f t="shared" si="17"/>
        <v>99907.516800000012</v>
      </c>
    </row>
    <row r="268" spans="1:12" hidden="1" outlineLevel="1" x14ac:dyDescent="0.35">
      <c r="A268" s="37" t="s">
        <v>803</v>
      </c>
      <c r="B268" s="62" t="s">
        <v>804</v>
      </c>
      <c r="C268" s="54" t="s">
        <v>930</v>
      </c>
      <c r="D268" s="84">
        <f>+Referanseark!D264+(Referanseark!D264*'P2026 '!$D$1)</f>
        <v>0</v>
      </c>
      <c r="E268" s="84">
        <f>+Referanseark!E264+(Referanseark!E264*'P2026 '!$D$1)</f>
        <v>0</v>
      </c>
      <c r="F268" s="84">
        <f>+Referanseark!F264+(Referanseark!F264*'P2026 '!$D$1)</f>
        <v>143126.68160000001</v>
      </c>
      <c r="G268" s="84">
        <f>+Referanseark!G264+(Referanseark!G264*'P2026 '!$D$1)</f>
        <v>5165.8320000000003</v>
      </c>
      <c r="H268" s="84">
        <f>+Referanseark!H264+(Referanseark!H264*'P2026 '!$D$1)</f>
        <v>55965.896000000001</v>
      </c>
      <c r="I268" s="84">
        <f>+Referanseark!I264+(Referanseark!I264*'P2026 '!$D$1)</f>
        <v>20486.2448</v>
      </c>
      <c r="J268" s="134"/>
      <c r="K268" s="134">
        <f t="shared" si="18"/>
        <v>20486.2448</v>
      </c>
      <c r="L268" s="130">
        <f t="shared" si="17"/>
        <v>224744.6544</v>
      </c>
    </row>
    <row r="269" spans="1:12" hidden="1" outlineLevel="1" x14ac:dyDescent="0.35">
      <c r="A269" s="37" t="s">
        <v>805</v>
      </c>
      <c r="B269" s="62" t="s">
        <v>806</v>
      </c>
      <c r="C269" s="54" t="s">
        <v>930</v>
      </c>
      <c r="D269" s="84">
        <f>+Referanseark!D265+(Referanseark!D265*'P2026 '!$D$1)</f>
        <v>0</v>
      </c>
      <c r="E269" s="84">
        <f>+Referanseark!E265+(Referanseark!E265*'P2026 '!$D$1)</f>
        <v>0</v>
      </c>
      <c r="F269" s="119">
        <f>+Referanseark!F265+(Referanseark!F265*'P2026 '!$D$1)-290000</f>
        <v>-1544.5040000000154</v>
      </c>
      <c r="G269" s="84">
        <f>+Referanseark!G265+(Referanseark!G265*'P2026 '!$D$1)</f>
        <v>6950.7871999999998</v>
      </c>
      <c r="H269" s="84">
        <f>+Referanseark!H265+(Referanseark!H265*'P2026 '!$D$1)</f>
        <v>0</v>
      </c>
      <c r="I269" s="84">
        <f>+Referanseark!I265+(Referanseark!I265*'P2026 '!$D$1)</f>
        <v>0</v>
      </c>
      <c r="J269" s="134"/>
      <c r="K269" s="134">
        <f t="shared" si="18"/>
        <v>0</v>
      </c>
      <c r="L269" s="130">
        <f t="shared" si="17"/>
        <v>5406.2831999999844</v>
      </c>
    </row>
    <row r="270" spans="1:12" hidden="1" outlineLevel="1" x14ac:dyDescent="0.35">
      <c r="A270" s="37" t="s">
        <v>807</v>
      </c>
      <c r="B270" s="62" t="s">
        <v>808</v>
      </c>
      <c r="C270" s="54" t="s">
        <v>930</v>
      </c>
      <c r="D270" s="84">
        <f>+Referanseark!D266+(Referanseark!D266*'P2026 '!$D$1)</f>
        <v>0</v>
      </c>
      <c r="E270" s="84">
        <f>+Referanseark!E266+(Referanseark!E266*'P2026 '!$D$1)</f>
        <v>0</v>
      </c>
      <c r="F270" s="84">
        <f>+Referanseark!F266+(Referanseark!F266*'P2026 '!$D$1)</f>
        <v>0</v>
      </c>
      <c r="G270" s="84">
        <f>+Referanseark!G266+(Referanseark!G266*'P2026 '!$D$1)</f>
        <v>0</v>
      </c>
      <c r="H270" s="84">
        <f>+Referanseark!H266+(Referanseark!H266*'P2026 '!$D$1)</f>
        <v>0</v>
      </c>
      <c r="I270" s="84">
        <f>+Referanseark!I266+(Referanseark!I266*'P2026 '!$D$1)</f>
        <v>0</v>
      </c>
      <c r="J270" s="134"/>
      <c r="K270" s="134">
        <f t="shared" si="18"/>
        <v>0</v>
      </c>
      <c r="L270" s="130">
        <f t="shared" ref="L270:L310" si="21">K270+D270+E270+F270+G270+H270</f>
        <v>0</v>
      </c>
    </row>
    <row r="271" spans="1:12" hidden="1" outlineLevel="1" x14ac:dyDescent="0.35">
      <c r="A271" s="37" t="s">
        <v>809</v>
      </c>
      <c r="B271" s="62" t="s">
        <v>810</v>
      </c>
      <c r="C271" s="54" t="s">
        <v>930</v>
      </c>
      <c r="D271" s="84">
        <f>+Referanseark!D267+(Referanseark!D267*'P2026 '!$D$1)</f>
        <v>0</v>
      </c>
      <c r="E271" s="84">
        <f>+Referanseark!E267+(Referanseark!E267*'P2026 '!$D$1)</f>
        <v>0</v>
      </c>
      <c r="F271" s="84">
        <f>+Referanseark!F267+(Referanseark!F267*'P2026 '!$D$1)</f>
        <v>0</v>
      </c>
      <c r="G271" s="84">
        <f>+Referanseark!G267+(Referanseark!G267*'P2026 '!$D$1)</f>
        <v>0</v>
      </c>
      <c r="H271" s="84">
        <f>+Referanseark!H267+(Referanseark!H267*'P2026 '!$D$1)</f>
        <v>0</v>
      </c>
      <c r="I271" s="84">
        <f>+Referanseark!I267+(Referanseark!I267*'P2026 '!$D$1)</f>
        <v>214.02080000000001</v>
      </c>
      <c r="J271" s="134"/>
      <c r="K271" s="134">
        <f t="shared" ref="K271:K310" si="22">I271+J271</f>
        <v>214.02080000000001</v>
      </c>
      <c r="L271" s="130">
        <f t="shared" si="21"/>
        <v>214.02080000000001</v>
      </c>
    </row>
    <row r="272" spans="1:12" hidden="1" outlineLevel="1" x14ac:dyDescent="0.35">
      <c r="A272" s="37" t="s">
        <v>811</v>
      </c>
      <c r="B272" s="62" t="s">
        <v>812</v>
      </c>
      <c r="C272" s="54" t="s">
        <v>930</v>
      </c>
      <c r="D272" s="84">
        <f>+Referanseark!D268+(Referanseark!D268*'P2026 '!$D$1)</f>
        <v>0</v>
      </c>
      <c r="E272" s="84">
        <f>+Referanseark!E268+(Referanseark!E268*'P2026 '!$D$1)</f>
        <v>0</v>
      </c>
      <c r="F272" s="84">
        <f>+Referanseark!F268+(Referanseark!F268*'P2026 '!$D$1)</f>
        <v>0</v>
      </c>
      <c r="G272" s="84">
        <f>+Referanseark!G268+(Referanseark!G268*'P2026 '!$D$1)</f>
        <v>0</v>
      </c>
      <c r="H272" s="84">
        <f>+Referanseark!H268+(Referanseark!H268*'P2026 '!$D$1)</f>
        <v>0</v>
      </c>
      <c r="I272" s="84">
        <f>+Referanseark!I268+(Referanseark!I268*'P2026 '!$D$1)</f>
        <v>0</v>
      </c>
      <c r="J272" s="134"/>
      <c r="K272" s="134">
        <f t="shared" si="22"/>
        <v>0</v>
      </c>
      <c r="L272" s="130">
        <f t="shared" si="21"/>
        <v>0</v>
      </c>
    </row>
    <row r="273" spans="1:12" hidden="1" outlineLevel="1" x14ac:dyDescent="0.35">
      <c r="A273" s="37" t="s">
        <v>813</v>
      </c>
      <c r="B273" s="62" t="s">
        <v>814</v>
      </c>
      <c r="C273" s="54" t="s">
        <v>930</v>
      </c>
      <c r="D273" s="84">
        <f>+Referanseark!D269+(Referanseark!D269*'P2026 '!$D$1)</f>
        <v>0</v>
      </c>
      <c r="E273" s="84">
        <f>+Referanseark!E269+(Referanseark!E269*'P2026 '!$D$1)</f>
        <v>0</v>
      </c>
      <c r="F273" s="84">
        <f>+Referanseark!F269+(Referanseark!F269*'P2026 '!$D$1)</f>
        <v>0</v>
      </c>
      <c r="G273" s="84">
        <f>+Referanseark!G269+(Referanseark!G269*'P2026 '!$D$1)</f>
        <v>1861.0032000000001</v>
      </c>
      <c r="H273" s="84">
        <f>+Referanseark!H269+(Referanseark!H269*'P2026 '!$D$1)</f>
        <v>0</v>
      </c>
      <c r="I273" s="84">
        <f>+Referanseark!I269+(Referanseark!I269*'P2026 '!$D$1)</f>
        <v>0</v>
      </c>
      <c r="J273" s="134"/>
      <c r="K273" s="134">
        <f t="shared" si="22"/>
        <v>0</v>
      </c>
      <c r="L273" s="130">
        <f t="shared" si="21"/>
        <v>1861.0032000000001</v>
      </c>
    </row>
    <row r="274" spans="1:12" hidden="1" outlineLevel="1" x14ac:dyDescent="0.35">
      <c r="A274" s="37" t="s">
        <v>815</v>
      </c>
      <c r="B274" s="62" t="s">
        <v>816</v>
      </c>
      <c r="C274" s="54" t="s">
        <v>930</v>
      </c>
      <c r="D274" s="84">
        <f>+Referanseark!D270+(Referanseark!D270*'P2026 '!$D$1)</f>
        <v>0</v>
      </c>
      <c r="E274" s="84">
        <f>+Referanseark!E270+(Referanseark!E270*'P2026 '!$D$1)</f>
        <v>0</v>
      </c>
      <c r="F274" s="84">
        <f>+Referanseark!F270+(Referanseark!F270*'P2026 '!$D$1)</f>
        <v>0</v>
      </c>
      <c r="G274" s="84">
        <f>+Referanseark!G270+(Referanseark!G270*'P2026 '!$D$1)</f>
        <v>0</v>
      </c>
      <c r="H274" s="84">
        <f>+Referanseark!H270+(Referanseark!H270*'P2026 '!$D$1)</f>
        <v>0</v>
      </c>
      <c r="I274" s="84">
        <f>+Referanseark!I270+(Referanseark!I270*'P2026 '!$D$1)</f>
        <v>0</v>
      </c>
      <c r="J274" s="134"/>
      <c r="K274" s="134">
        <f t="shared" si="22"/>
        <v>0</v>
      </c>
      <c r="L274" s="130">
        <f t="shared" si="21"/>
        <v>0</v>
      </c>
    </row>
    <row r="275" spans="1:12" hidden="1" outlineLevel="1" x14ac:dyDescent="0.35">
      <c r="A275" s="37" t="s">
        <v>817</v>
      </c>
      <c r="B275" s="62" t="s">
        <v>818</v>
      </c>
      <c r="C275" s="54" t="s">
        <v>930</v>
      </c>
      <c r="D275" s="84">
        <f>+Referanseark!D271+(Referanseark!D271*'P2026 '!$D$1)</f>
        <v>10664.1024</v>
      </c>
      <c r="E275" s="84">
        <f>+Referanseark!E271+(Referanseark!E271*'P2026 '!$D$1)</f>
        <v>6002.36</v>
      </c>
      <c r="F275" s="84">
        <f>+Referanseark!F271+(Referanseark!F271*'P2026 '!$D$1)</f>
        <v>14147.1008</v>
      </c>
      <c r="G275" s="84">
        <f>+Referanseark!G271+(Referanseark!G271*'P2026 '!$D$1)</f>
        <v>4343.4272000000001</v>
      </c>
      <c r="H275" s="84">
        <f>+Referanseark!H271+(Referanseark!H271*'P2026 '!$D$1)</f>
        <v>0</v>
      </c>
      <c r="I275" s="84">
        <f>+Referanseark!I271+(Referanseark!I271*'P2026 '!$D$1)</f>
        <v>3352.6304</v>
      </c>
      <c r="J275" s="134"/>
      <c r="K275" s="134">
        <f t="shared" si="22"/>
        <v>3352.6304</v>
      </c>
      <c r="L275" s="130">
        <f t="shared" si="21"/>
        <v>38509.620799999997</v>
      </c>
    </row>
    <row r="276" spans="1:12" hidden="1" outlineLevel="1" x14ac:dyDescent="0.35">
      <c r="A276" s="37" t="s">
        <v>819</v>
      </c>
      <c r="B276" s="62" t="s">
        <v>820</v>
      </c>
      <c r="C276" s="54" t="s">
        <v>930</v>
      </c>
      <c r="D276" s="84">
        <f>+Referanseark!D272+(Referanseark!D272*'P2026 '!$D$1)</f>
        <v>0</v>
      </c>
      <c r="E276" s="84">
        <f>+Referanseark!E272+(Referanseark!E272*'P2026 '!$D$1)</f>
        <v>0</v>
      </c>
      <c r="F276" s="84">
        <f>+Referanseark!F272+(Referanseark!F272*'P2026 '!$D$1)</f>
        <v>6514.0544</v>
      </c>
      <c r="G276" s="84">
        <f>+Referanseark!G272+(Referanseark!G272*'P2026 '!$D$1)</f>
        <v>0</v>
      </c>
      <c r="H276" s="84">
        <f>+Referanseark!H272+(Referanseark!H272*'P2026 '!$D$1)</f>
        <v>21962.662400000001</v>
      </c>
      <c r="I276" s="84">
        <f>+Referanseark!I272+(Referanseark!I272*'P2026 '!$D$1)</f>
        <v>0</v>
      </c>
      <c r="J276" s="134"/>
      <c r="K276" s="134">
        <f t="shared" si="22"/>
        <v>0</v>
      </c>
      <c r="L276" s="130">
        <f t="shared" si="21"/>
        <v>28476.716800000002</v>
      </c>
    </row>
    <row r="277" spans="1:12" hidden="1" outlineLevel="1" x14ac:dyDescent="0.35">
      <c r="A277" s="37" t="s">
        <v>821</v>
      </c>
      <c r="B277" s="62" t="s">
        <v>822</v>
      </c>
      <c r="C277" s="54" t="s">
        <v>930</v>
      </c>
      <c r="D277" s="84">
        <f>+Referanseark!D273+(Referanseark!D273*'P2026 '!$D$1)</f>
        <v>27132.84</v>
      </c>
      <c r="E277" s="84">
        <f>+Referanseark!E273+(Referanseark!E273*'P2026 '!$D$1)</f>
        <v>22468.924800000001</v>
      </c>
      <c r="F277" s="84">
        <f>+Referanseark!F273+(Referanseark!F273*'P2026 '!$D$1)</f>
        <v>77792.758400000006</v>
      </c>
      <c r="G277" s="84">
        <f>+Referanseark!G273+(Referanseark!G273*'P2026 '!$D$1)</f>
        <v>61539.127999999997</v>
      </c>
      <c r="H277" s="84">
        <f>+Referanseark!H273+(Referanseark!H273*'P2026 '!$D$1)</f>
        <v>86007.0288</v>
      </c>
      <c r="I277" s="84">
        <f>+Referanseark!I273+(Referanseark!I273*'P2026 '!$D$1)</f>
        <v>2143.4672</v>
      </c>
      <c r="J277" s="134"/>
      <c r="K277" s="134">
        <f t="shared" si="22"/>
        <v>2143.4672</v>
      </c>
      <c r="L277" s="130">
        <f t="shared" si="21"/>
        <v>277084.14720000001</v>
      </c>
    </row>
    <row r="278" spans="1:12" hidden="1" outlineLevel="1" x14ac:dyDescent="0.35">
      <c r="A278" s="37" t="s">
        <v>823</v>
      </c>
      <c r="B278" s="62" t="s">
        <v>824</v>
      </c>
      <c r="C278" s="54" t="s">
        <v>930</v>
      </c>
      <c r="D278" s="84">
        <f>+Referanseark!D274+(Referanseark!D274*'P2026 '!$D$1)</f>
        <v>0</v>
      </c>
      <c r="E278" s="84">
        <f>+Referanseark!E274+(Referanseark!E274*'P2026 '!$D$1)</f>
        <v>0</v>
      </c>
      <c r="F278" s="84">
        <f>+Referanseark!F274+(Referanseark!F274*'P2026 '!$D$1)</f>
        <v>24.987200000000001</v>
      </c>
      <c r="G278" s="84">
        <f>+Referanseark!G274+(Referanseark!G274*'P2026 '!$D$1)</f>
        <v>2.1728000000000001</v>
      </c>
      <c r="H278" s="84">
        <f>+Referanseark!H274+(Referanseark!H274*'P2026 '!$D$1)</f>
        <v>3.2591999999999999</v>
      </c>
      <c r="I278" s="84">
        <f>+Referanseark!I274+(Referanseark!I274*'P2026 '!$D$1)</f>
        <v>0</v>
      </c>
      <c r="J278" s="134"/>
      <c r="K278" s="134">
        <f t="shared" si="22"/>
        <v>0</v>
      </c>
      <c r="L278" s="130">
        <f t="shared" si="21"/>
        <v>30.4192</v>
      </c>
    </row>
    <row r="279" spans="1:12" hidden="1" outlineLevel="1" x14ac:dyDescent="0.35">
      <c r="A279" s="37" t="s">
        <v>825</v>
      </c>
      <c r="B279" s="62" t="s">
        <v>826</v>
      </c>
      <c r="C279" s="54" t="s">
        <v>930</v>
      </c>
      <c r="D279" s="84">
        <f>+Referanseark!D275+(Referanseark!D275*'P2026 '!$D$1)</f>
        <v>0</v>
      </c>
      <c r="E279" s="84">
        <f>+Referanseark!E275+(Referanseark!E275*'P2026 '!$D$1)</f>
        <v>0</v>
      </c>
      <c r="F279" s="84">
        <f>+Referanseark!F275+(Referanseark!F275*'P2026 '!$D$1)</f>
        <v>0</v>
      </c>
      <c r="G279" s="84">
        <f>+Referanseark!G275+(Referanseark!G275*'P2026 '!$D$1)</f>
        <v>0</v>
      </c>
      <c r="H279" s="84">
        <f>+Referanseark!H275+(Referanseark!H275*'P2026 '!$D$1)</f>
        <v>14616.4256</v>
      </c>
      <c r="I279" s="84">
        <f>+Referanseark!I275+(Referanseark!I275*'P2026 '!$D$1)</f>
        <v>0</v>
      </c>
      <c r="J279" s="134"/>
      <c r="K279" s="134">
        <f t="shared" si="22"/>
        <v>0</v>
      </c>
      <c r="L279" s="130">
        <f t="shared" si="21"/>
        <v>14616.4256</v>
      </c>
    </row>
    <row r="280" spans="1:12" hidden="1" outlineLevel="1" x14ac:dyDescent="0.35">
      <c r="A280" s="37" t="s">
        <v>827</v>
      </c>
      <c r="B280" s="62" t="s">
        <v>828</v>
      </c>
      <c r="C280" s="54" t="s">
        <v>930</v>
      </c>
      <c r="D280" s="84">
        <f>+Referanseark!D276+(Referanseark!D276*'P2026 '!$D$1)</f>
        <v>1060.3263999999999</v>
      </c>
      <c r="E280" s="84">
        <f>+Referanseark!E276+(Referanseark!E276*'P2026 '!$D$1)</f>
        <v>10158.9264</v>
      </c>
      <c r="F280" s="84">
        <f>+Referanseark!F276+(Referanseark!F276*'P2026 '!$D$1)</f>
        <v>19020.691200000001</v>
      </c>
      <c r="G280" s="84">
        <f>+Referanseark!G276+(Referanseark!G276*'P2026 '!$D$1)</f>
        <v>8724.8783999999996</v>
      </c>
      <c r="H280" s="84">
        <f>+Referanseark!H276+(Referanseark!H276*'P2026 '!$D$1)</f>
        <v>10526.1296</v>
      </c>
      <c r="I280" s="84">
        <f>+Referanseark!I276+(Referanseark!I276*'P2026 '!$D$1)</f>
        <v>4423.8208000000004</v>
      </c>
      <c r="J280" s="134"/>
      <c r="K280" s="134">
        <f t="shared" si="22"/>
        <v>4423.8208000000004</v>
      </c>
      <c r="L280" s="130">
        <f t="shared" si="21"/>
        <v>53914.772800000006</v>
      </c>
    </row>
    <row r="281" spans="1:12" hidden="1" outlineLevel="1" x14ac:dyDescent="0.35">
      <c r="A281" s="37" t="s">
        <v>829</v>
      </c>
      <c r="B281" s="62" t="s">
        <v>830</v>
      </c>
      <c r="C281" s="54" t="s">
        <v>930</v>
      </c>
      <c r="D281" s="84">
        <f>+Referanseark!D277+(Referanseark!D277*'P2026 '!$D$1)</f>
        <v>0</v>
      </c>
      <c r="E281" s="84">
        <f>+Referanseark!E277+(Referanseark!E277*'P2026 '!$D$1)</f>
        <v>0</v>
      </c>
      <c r="F281" s="84">
        <f>+Referanseark!F277+(Referanseark!F277*'P2026 '!$D$1)</f>
        <v>126997.9872</v>
      </c>
      <c r="G281" s="84">
        <f>+Referanseark!G277+(Referanseark!G277*'P2026 '!$D$1)</f>
        <v>-43.456000000000003</v>
      </c>
      <c r="H281" s="84">
        <f>+Referanseark!H277+(Referanseark!H277*'P2026 '!$D$1)</f>
        <v>83805.982400000008</v>
      </c>
      <c r="I281" s="84">
        <f>+Referanseark!I277+(Referanseark!I277*'P2026 '!$D$1)</f>
        <v>1569.848</v>
      </c>
      <c r="J281" s="134"/>
      <c r="K281" s="134">
        <f t="shared" si="22"/>
        <v>1569.848</v>
      </c>
      <c r="L281" s="130">
        <f t="shared" si="21"/>
        <v>212330.3616</v>
      </c>
    </row>
    <row r="282" spans="1:12" hidden="1" outlineLevel="1" x14ac:dyDescent="0.35">
      <c r="A282" s="37" t="s">
        <v>831</v>
      </c>
      <c r="B282" s="62" t="s">
        <v>832</v>
      </c>
      <c r="C282" s="54" t="s">
        <v>930</v>
      </c>
      <c r="D282" s="84">
        <f>+Referanseark!D278+(Referanseark!D278*'P2026 '!$D$1)</f>
        <v>0</v>
      </c>
      <c r="E282" s="84">
        <f>+Referanseark!E278+(Referanseark!E278*'P2026 '!$D$1)</f>
        <v>0</v>
      </c>
      <c r="F282" s="84">
        <f>+Referanseark!F278+(Referanseark!F278*'P2026 '!$D$1)</f>
        <v>0</v>
      </c>
      <c r="G282" s="84">
        <f>+Referanseark!G278+(Referanseark!G278*'P2026 '!$D$1)</f>
        <v>0</v>
      </c>
      <c r="H282" s="84">
        <f>+Referanseark!H278+(Referanseark!H278*'P2026 '!$D$1)</f>
        <v>0</v>
      </c>
      <c r="I282" s="84">
        <f>+Referanseark!I278+(Referanseark!I278*'P2026 '!$D$1)</f>
        <v>0</v>
      </c>
      <c r="J282" s="134"/>
      <c r="K282" s="134">
        <f t="shared" si="22"/>
        <v>0</v>
      </c>
      <c r="L282" s="130">
        <f t="shared" si="21"/>
        <v>0</v>
      </c>
    </row>
    <row r="283" spans="1:12" hidden="1" outlineLevel="1" x14ac:dyDescent="0.35">
      <c r="A283" s="37" t="s">
        <v>833</v>
      </c>
      <c r="B283" s="62" t="s">
        <v>834</v>
      </c>
      <c r="C283" s="54" t="s">
        <v>930</v>
      </c>
      <c r="D283" s="84">
        <f>+Referanseark!D279+(Referanseark!D279*'P2026 '!$D$1)</f>
        <v>0</v>
      </c>
      <c r="E283" s="84">
        <f>+Referanseark!E279+(Referanseark!E279*'P2026 '!$D$1)</f>
        <v>0</v>
      </c>
      <c r="F283" s="84">
        <f>+Referanseark!F279+(Referanseark!F279*'P2026 '!$D$1)</f>
        <v>0</v>
      </c>
      <c r="G283" s="84">
        <f>+Referanseark!G279+(Referanseark!G279*'P2026 '!$D$1)</f>
        <v>0</v>
      </c>
      <c r="H283" s="84">
        <f>+Referanseark!H279+(Referanseark!H279*'P2026 '!$D$1)</f>
        <v>0</v>
      </c>
      <c r="I283" s="84">
        <f>+Referanseark!I279+(Referanseark!I279*'P2026 '!$D$1)</f>
        <v>0</v>
      </c>
      <c r="J283" s="134"/>
      <c r="K283" s="134">
        <f t="shared" si="22"/>
        <v>0</v>
      </c>
      <c r="L283" s="130">
        <f t="shared" si="21"/>
        <v>0</v>
      </c>
    </row>
    <row r="284" spans="1:12" hidden="1" outlineLevel="1" x14ac:dyDescent="0.35">
      <c r="A284" s="37" t="s">
        <v>835</v>
      </c>
      <c r="B284" s="62" t="s">
        <v>836</v>
      </c>
      <c r="C284" s="79" t="s">
        <v>930</v>
      </c>
      <c r="D284" s="84">
        <f>+Referanseark!D280+(Referanseark!D280*'P2026 '!$D$1)</f>
        <v>0</v>
      </c>
      <c r="E284" s="84">
        <f>+Referanseark!E280+(Referanseark!E280*'P2026 '!$D$1)</f>
        <v>0</v>
      </c>
      <c r="F284" s="84">
        <f>+Referanseark!F280+(Referanseark!F280*'P2026 '!$D$1)</f>
        <v>0</v>
      </c>
      <c r="G284" s="84">
        <f>+Referanseark!G280+(Referanseark!G280*'P2026 '!$D$1)</f>
        <v>0</v>
      </c>
      <c r="H284" s="84">
        <f>+Referanseark!H280+(Referanseark!H280*'P2026 '!$D$1)</f>
        <v>0</v>
      </c>
      <c r="I284" s="84">
        <f>+Referanseark!I280+(Referanseark!I280*'P2026 '!$D$1)</f>
        <v>0</v>
      </c>
      <c r="J284" s="134"/>
      <c r="K284" s="134">
        <f t="shared" si="22"/>
        <v>0</v>
      </c>
      <c r="L284" s="130">
        <f t="shared" si="21"/>
        <v>0</v>
      </c>
    </row>
    <row r="285" spans="1:12" s="12" customFormat="1" x14ac:dyDescent="0.35">
      <c r="A285" s="52"/>
      <c r="B285" s="72" t="s">
        <v>1290</v>
      </c>
      <c r="C285" s="53"/>
      <c r="D285" s="88">
        <f>D103+D149+D196+D201+D202</f>
        <v>1635889.1696000001</v>
      </c>
      <c r="E285" s="88">
        <f>E103+E149+E196+E201+E202</f>
        <v>930272.36959999998</v>
      </c>
      <c r="F285" s="88">
        <f>F103+F149+F196+F201+F202</f>
        <v>3038982.0432000002</v>
      </c>
      <c r="G285" s="88">
        <f>G103+G149+G196+G201+G202</f>
        <v>2761534.5199999996</v>
      </c>
      <c r="H285" s="88">
        <f>H103+H149+H196+H201+H202</f>
        <v>3174546.2384000001</v>
      </c>
      <c r="I285" s="88">
        <f>I103+I149+I196+I201+I202</f>
        <v>1560840.6576</v>
      </c>
      <c r="J285" s="160"/>
      <c r="K285" s="137">
        <f>K103+K149+K202</f>
        <v>7927018.0992000001</v>
      </c>
      <c r="L285" s="138">
        <f>K285+D285+E285+F285+G285+H285</f>
        <v>19468242.440000001</v>
      </c>
    </row>
    <row r="286" spans="1:12" s="12" customFormat="1" x14ac:dyDescent="0.35">
      <c r="A286" s="56"/>
      <c r="B286" s="81" t="s">
        <v>1287</v>
      </c>
      <c r="C286" s="58"/>
      <c r="D286" s="90">
        <f>D148-D149-D196-D202</f>
        <v>2078.9239991477225</v>
      </c>
      <c r="E286" s="90">
        <f>E148-E149-E196-E202</f>
        <v>151072.46904536744</v>
      </c>
      <c r="F286" s="90">
        <f>F148-F149-F196-F202</f>
        <v>449882.7266249205</v>
      </c>
      <c r="G286" s="90">
        <f>G148-G149-G196-G202</f>
        <v>659991.28676805133</v>
      </c>
      <c r="H286" s="90">
        <f>H148-H149-H196-H202</f>
        <v>138795.92529584607</v>
      </c>
      <c r="I286" s="90">
        <f>I148-I149-I196-I202</f>
        <v>43650.465600000083</v>
      </c>
      <c r="J286" s="90"/>
      <c r="K286" s="59">
        <f>K102-K285</f>
        <v>199999.76000000164</v>
      </c>
      <c r="L286" s="135">
        <f t="shared" si="21"/>
        <v>1601821.0917333346</v>
      </c>
    </row>
    <row r="287" spans="1:12" collapsed="1" x14ac:dyDescent="0.35">
      <c r="A287" s="57"/>
      <c r="B287" s="62" t="s">
        <v>931</v>
      </c>
      <c r="C287" s="79"/>
      <c r="D287" s="85">
        <f>SUM(D288:D292)</f>
        <v>217.28</v>
      </c>
      <c r="E287" s="85">
        <f>SUM(E288:E292)</f>
        <v>54320</v>
      </c>
      <c r="F287" s="85">
        <f t="shared" ref="F287" si="23">SUM(F288:F292)</f>
        <v>54320</v>
      </c>
      <c r="G287" s="85">
        <f t="shared" ref="G287:H287" si="24">SUM(G288:G292)</f>
        <v>85821.254400000005</v>
      </c>
      <c r="H287" s="85">
        <f t="shared" si="24"/>
        <v>0</v>
      </c>
      <c r="I287" s="85">
        <f t="shared" ref="I287" si="25">SUM(I288:I292)</f>
        <v>0</v>
      </c>
      <c r="J287" s="161"/>
      <c r="K287" s="134">
        <f t="shared" si="22"/>
        <v>0</v>
      </c>
      <c r="L287" s="130">
        <f t="shared" si="21"/>
        <v>194678.5344</v>
      </c>
    </row>
    <row r="288" spans="1:12" hidden="1" outlineLevel="1" x14ac:dyDescent="0.35">
      <c r="A288" s="37" t="s">
        <v>837</v>
      </c>
      <c r="B288" s="62" t="s">
        <v>838</v>
      </c>
      <c r="C288" s="54" t="s">
        <v>931</v>
      </c>
      <c r="D288" s="84">
        <f>+Referanseark!D285+(Referanseark!D285*'P2026 '!$D$1)</f>
        <v>217.28</v>
      </c>
      <c r="E288" s="84">
        <f>+Referanseark!E285+(Referanseark!E285*'P2026 '!$D$1)</f>
        <v>54320</v>
      </c>
      <c r="F288" s="84">
        <f>+Referanseark!F285+(Referanseark!F285*'P2026 '!$D$1)</f>
        <v>54320</v>
      </c>
      <c r="G288" s="84">
        <f>+Referanseark!G285+(Referanseark!G285*'P2026 '!$D$1)</f>
        <v>85821.254400000005</v>
      </c>
      <c r="H288" s="84">
        <f>+Referanseark!H285+(Referanseark!H285*'P2026 '!$D$1)</f>
        <v>0</v>
      </c>
      <c r="I288" s="84">
        <f>+Referanseark!I285+(Referanseark!I285*'P2026 '!$D$1)</f>
        <v>0</v>
      </c>
      <c r="J288" s="134"/>
      <c r="K288" s="134">
        <f t="shared" si="22"/>
        <v>0</v>
      </c>
      <c r="L288" s="130">
        <f t="shared" si="21"/>
        <v>194678.5344</v>
      </c>
    </row>
    <row r="289" spans="1:12" hidden="1" outlineLevel="1" x14ac:dyDescent="0.35">
      <c r="A289" s="37" t="s">
        <v>839</v>
      </c>
      <c r="B289" s="62" t="s">
        <v>840</v>
      </c>
      <c r="C289" s="54" t="s">
        <v>931</v>
      </c>
      <c r="D289" s="84">
        <f>+Referanseark!D286+(Referanseark!D286*'P2026 '!$D$1)</f>
        <v>0</v>
      </c>
      <c r="E289" s="84">
        <f>+Referanseark!E286+(Referanseark!E286*'P2026 '!$D$1)</f>
        <v>0</v>
      </c>
      <c r="F289" s="84">
        <f>+Referanseark!F286+(Referanseark!F286*'P2026 '!$D$1)</f>
        <v>0</v>
      </c>
      <c r="G289" s="84">
        <f>+Referanseark!G286+(Referanseark!G286*'P2026 '!$D$1)</f>
        <v>0</v>
      </c>
      <c r="H289" s="84">
        <f>+Referanseark!H286+(Referanseark!H286*'P2026 '!$D$1)</f>
        <v>0</v>
      </c>
      <c r="I289" s="84">
        <f>+Referanseark!I286+(Referanseark!I286*'P2026 '!$D$1)</f>
        <v>0</v>
      </c>
      <c r="J289" s="134"/>
      <c r="K289" s="134">
        <f t="shared" si="22"/>
        <v>0</v>
      </c>
      <c r="L289" s="130">
        <f t="shared" si="21"/>
        <v>0</v>
      </c>
    </row>
    <row r="290" spans="1:12" hidden="1" outlineLevel="1" x14ac:dyDescent="0.35">
      <c r="A290" s="37" t="s">
        <v>841</v>
      </c>
      <c r="B290" s="62" t="s">
        <v>842</v>
      </c>
      <c r="C290" s="54" t="s">
        <v>931</v>
      </c>
      <c r="D290" s="84">
        <f>+Referanseark!D287+(Referanseark!D287*'P2026 '!$D$1)</f>
        <v>0</v>
      </c>
      <c r="E290" s="84">
        <f>+Referanseark!E287+(Referanseark!E287*'P2026 '!$D$1)</f>
        <v>0</v>
      </c>
      <c r="F290" s="84">
        <f>+Referanseark!F287+(Referanseark!F287*'P2026 '!$D$1)</f>
        <v>0</v>
      </c>
      <c r="G290" s="84">
        <f>+Referanseark!G287+(Referanseark!G287*'P2026 '!$D$1)</f>
        <v>0</v>
      </c>
      <c r="H290" s="84">
        <f>+Referanseark!H287+(Referanseark!H287*'P2026 '!$D$1)</f>
        <v>0</v>
      </c>
      <c r="I290" s="84">
        <f>+Referanseark!I287+(Referanseark!I287*'P2026 '!$D$1)</f>
        <v>0</v>
      </c>
      <c r="J290" s="134"/>
      <c r="K290" s="134">
        <f t="shared" si="22"/>
        <v>0</v>
      </c>
      <c r="L290" s="130">
        <f t="shared" si="21"/>
        <v>0</v>
      </c>
    </row>
    <row r="291" spans="1:12" hidden="1" outlineLevel="1" x14ac:dyDescent="0.35">
      <c r="A291" s="48" t="s">
        <v>843</v>
      </c>
      <c r="B291" s="69" t="s">
        <v>844</v>
      </c>
      <c r="C291" s="54" t="s">
        <v>931</v>
      </c>
      <c r="D291" s="84">
        <f>+Referanseark!D288+(Referanseark!D288*'P2026 '!$D$1)</f>
        <v>0</v>
      </c>
      <c r="E291" s="84">
        <f>+Referanseark!E288+(Referanseark!E288*'P2026 '!$D$1)</f>
        <v>0</v>
      </c>
      <c r="F291" s="84">
        <f>+Referanseark!F288+(Referanseark!F288*'P2026 '!$D$1)</f>
        <v>0</v>
      </c>
      <c r="G291" s="84">
        <f>+Referanseark!G288+(Referanseark!G288*'P2026 '!$D$1)</f>
        <v>0</v>
      </c>
      <c r="H291" s="84">
        <f>+Referanseark!H288+(Referanseark!H288*'P2026 '!$D$1)</f>
        <v>0</v>
      </c>
      <c r="I291" s="84">
        <f>+Referanseark!I288+(Referanseark!I288*'P2026 '!$D$1)</f>
        <v>0</v>
      </c>
      <c r="J291" s="134"/>
      <c r="K291" s="134">
        <f t="shared" si="22"/>
        <v>0</v>
      </c>
      <c r="L291" s="130">
        <f t="shared" si="21"/>
        <v>0</v>
      </c>
    </row>
    <row r="292" spans="1:12" hidden="1" outlineLevel="1" x14ac:dyDescent="0.35">
      <c r="A292" s="37" t="s">
        <v>847</v>
      </c>
      <c r="B292" s="62" t="s">
        <v>848</v>
      </c>
      <c r="C292" s="54" t="s">
        <v>931</v>
      </c>
      <c r="D292" s="84">
        <f>+Referanseark!D289+(Referanseark!D289*'P2026 '!$D$1)</f>
        <v>0</v>
      </c>
      <c r="E292" s="84">
        <f>+Referanseark!E289+(Referanseark!E289*'P2026 '!$D$1)</f>
        <v>0</v>
      </c>
      <c r="F292" s="84">
        <f>+Referanseark!F289+(Referanseark!F289*'P2026 '!$D$1)</f>
        <v>0</v>
      </c>
      <c r="G292" s="84">
        <f>+Referanseark!G289+(Referanseark!G289*'P2026 '!$D$1)</f>
        <v>0</v>
      </c>
      <c r="H292" s="84">
        <f>+Referanseark!H289+(Referanseark!H289*'P2026 '!$D$1)</f>
        <v>0</v>
      </c>
      <c r="I292" s="84">
        <f>+Referanseark!I289+(Referanseark!I289*'P2026 '!$D$1)</f>
        <v>0</v>
      </c>
      <c r="J292" s="134"/>
      <c r="K292" s="134">
        <f t="shared" si="22"/>
        <v>0</v>
      </c>
      <c r="L292" s="130">
        <f t="shared" si="21"/>
        <v>0</v>
      </c>
    </row>
    <row r="293" spans="1:12" collapsed="1" x14ac:dyDescent="0.35">
      <c r="A293" s="37"/>
      <c r="B293" s="62" t="s">
        <v>932</v>
      </c>
      <c r="C293" s="65"/>
      <c r="D293" s="85">
        <f>SUM(D294:D295)</f>
        <v>0</v>
      </c>
      <c r="E293" s="85">
        <f>SUM(E294:E295)</f>
        <v>0</v>
      </c>
      <c r="F293" s="85">
        <f t="shared" ref="F293" si="26">SUM(F294:F295)</f>
        <v>0</v>
      </c>
      <c r="G293" s="85">
        <f t="shared" ref="G293:H293" si="27">SUM(G294:G295)</f>
        <v>0</v>
      </c>
      <c r="H293" s="85">
        <f t="shared" si="27"/>
        <v>0</v>
      </c>
      <c r="I293" s="85">
        <f t="shared" ref="I293" si="28">SUM(I294:I295)</f>
        <v>0</v>
      </c>
      <c r="J293" s="134"/>
      <c r="K293" s="134">
        <f t="shared" si="22"/>
        <v>0</v>
      </c>
      <c r="L293" s="130">
        <f t="shared" si="21"/>
        <v>0</v>
      </c>
    </row>
    <row r="294" spans="1:12" hidden="1" outlineLevel="1" x14ac:dyDescent="0.35">
      <c r="A294" s="37" t="s">
        <v>845</v>
      </c>
      <c r="B294" s="62" t="s">
        <v>846</v>
      </c>
      <c r="C294" s="54" t="s">
        <v>932</v>
      </c>
      <c r="D294" s="84">
        <f>+Referanseark!D291+(Referanseark!D291*'P2026 '!$D$1)</f>
        <v>0</v>
      </c>
      <c r="E294" s="84">
        <f>+Referanseark!E291+(Referanseark!E291*'P2026 '!$D$1)</f>
        <v>0</v>
      </c>
      <c r="F294" s="84">
        <f>+Referanseark!F291+(Referanseark!F291*'P2026 '!$D$1)</f>
        <v>0</v>
      </c>
      <c r="G294" s="84">
        <f>+Referanseark!G291+(Referanseark!G291*'P2026 '!$D$1)</f>
        <v>0</v>
      </c>
      <c r="H294" s="84">
        <f>+Referanseark!H291+(Referanseark!H291*'P2026 '!$D$1)</f>
        <v>0</v>
      </c>
      <c r="I294" s="84">
        <f>+Referanseark!I291+(Referanseark!I291*'P2026 '!$D$1)</f>
        <v>0</v>
      </c>
      <c r="J294" s="134"/>
      <c r="K294" s="134">
        <f t="shared" si="22"/>
        <v>0</v>
      </c>
      <c r="L294" s="130">
        <f t="shared" si="21"/>
        <v>0</v>
      </c>
    </row>
    <row r="295" spans="1:12" hidden="1" outlineLevel="1" x14ac:dyDescent="0.35">
      <c r="A295" s="37" t="s">
        <v>849</v>
      </c>
      <c r="B295" s="62" t="s">
        <v>850</v>
      </c>
      <c r="C295" s="54" t="s">
        <v>932</v>
      </c>
      <c r="D295" s="84">
        <f>+Referanseark!D292+(Referanseark!D292*'P2026 '!$D$1)</f>
        <v>0</v>
      </c>
      <c r="E295" s="84">
        <f>+Referanseark!E292+(Referanseark!E292*'P2026 '!$D$1)</f>
        <v>0</v>
      </c>
      <c r="F295" s="84">
        <f>+Referanseark!F292+(Referanseark!F292*'P2026 '!$D$1)</f>
        <v>0</v>
      </c>
      <c r="G295" s="84">
        <f>+Referanseark!G292+(Referanseark!G292*'P2026 '!$D$1)</f>
        <v>0</v>
      </c>
      <c r="H295" s="84">
        <f>+Referanseark!H292+(Referanseark!H292*'P2026 '!$D$1)</f>
        <v>0</v>
      </c>
      <c r="I295" s="84">
        <f>+Referanseark!I292+(Referanseark!I292*'P2026 '!$D$1)</f>
        <v>0</v>
      </c>
      <c r="J295" s="134"/>
      <c r="K295" s="134">
        <f t="shared" si="22"/>
        <v>0</v>
      </c>
      <c r="L295" s="130">
        <f t="shared" si="21"/>
        <v>0</v>
      </c>
    </row>
    <row r="296" spans="1:12" collapsed="1" x14ac:dyDescent="0.35">
      <c r="A296" s="37"/>
      <c r="B296" s="62" t="s">
        <v>933</v>
      </c>
      <c r="C296" s="54"/>
      <c r="D296" s="85">
        <f t="shared" ref="D296:I296" si="29">SUM(D297:D298)</f>
        <v>0</v>
      </c>
      <c r="E296" s="85">
        <f t="shared" si="29"/>
        <v>0</v>
      </c>
      <c r="F296" s="85">
        <f t="shared" si="29"/>
        <v>0</v>
      </c>
      <c r="G296" s="85">
        <f t="shared" si="29"/>
        <v>0</v>
      </c>
      <c r="H296" s="85">
        <f t="shared" si="29"/>
        <v>0</v>
      </c>
      <c r="I296" s="85">
        <f t="shared" si="29"/>
        <v>0</v>
      </c>
      <c r="J296" s="134"/>
      <c r="K296" s="134">
        <f t="shared" si="22"/>
        <v>0</v>
      </c>
      <c r="L296" s="130">
        <f t="shared" si="21"/>
        <v>0</v>
      </c>
    </row>
    <row r="297" spans="1:12" hidden="1" outlineLevel="1" x14ac:dyDescent="0.35">
      <c r="A297" s="37" t="s">
        <v>851</v>
      </c>
      <c r="B297" s="62" t="s">
        <v>852</v>
      </c>
      <c r="C297" s="54" t="s">
        <v>933</v>
      </c>
      <c r="D297" s="84">
        <f>+Referanseark!D294+(Referanseark!D294*'P2026 '!$D$1)</f>
        <v>0</v>
      </c>
      <c r="E297" s="84">
        <f>+Referanseark!E294+(Referanseark!E294*'P2026 '!$D$1)</f>
        <v>0</v>
      </c>
      <c r="F297" s="84">
        <f>+Referanseark!F294+(Referanseark!F294*'P2026 '!$D$1)</f>
        <v>0</v>
      </c>
      <c r="G297" s="84">
        <f>+Referanseark!G294+(Referanseark!G294*'P2026 '!$D$1)</f>
        <v>0</v>
      </c>
      <c r="H297" s="84">
        <f>+Referanseark!H294+(Referanseark!H294*'P2026 '!$D$1)</f>
        <v>0</v>
      </c>
      <c r="I297" s="84">
        <f>+Referanseark!I294+(Referanseark!I294*'P2026 '!$D$1)</f>
        <v>0</v>
      </c>
      <c r="J297" s="134"/>
      <c r="K297" s="134">
        <f t="shared" si="22"/>
        <v>0</v>
      </c>
      <c r="L297" s="130">
        <f t="shared" si="21"/>
        <v>0</v>
      </c>
    </row>
    <row r="298" spans="1:12" hidden="1" outlineLevel="1" x14ac:dyDescent="0.35">
      <c r="A298" s="37" t="s">
        <v>853</v>
      </c>
      <c r="B298" s="62" t="s">
        <v>854</v>
      </c>
      <c r="C298" s="54" t="s">
        <v>933</v>
      </c>
      <c r="D298" s="84">
        <f>+Referanseark!D295+(Referanseark!D295*'P2026 '!$D$1)</f>
        <v>0</v>
      </c>
      <c r="E298" s="84">
        <f>+Referanseark!E295+(Referanseark!E295*'P2026 '!$D$1)</f>
        <v>0</v>
      </c>
      <c r="F298" s="84">
        <f>+Referanseark!F295+(Referanseark!F295*'P2026 '!$D$1)</f>
        <v>0</v>
      </c>
      <c r="G298" s="84">
        <f>+Referanseark!G295+(Referanseark!G295*'P2026 '!$D$1)</f>
        <v>0</v>
      </c>
      <c r="H298" s="84">
        <f>+Referanseark!H295+(Referanseark!H295*'P2026 '!$D$1)</f>
        <v>0</v>
      </c>
      <c r="I298" s="84">
        <f>+Referanseark!I295+(Referanseark!I295*'P2026 '!$D$1)</f>
        <v>0</v>
      </c>
      <c r="J298" s="134"/>
      <c r="K298" s="134">
        <f t="shared" si="22"/>
        <v>0</v>
      </c>
      <c r="L298" s="130">
        <f t="shared" si="21"/>
        <v>0</v>
      </c>
    </row>
    <row r="299" spans="1:12" collapsed="1" x14ac:dyDescent="0.35">
      <c r="A299" s="37"/>
      <c r="B299" s="62" t="s">
        <v>934</v>
      </c>
      <c r="C299" s="54"/>
      <c r="D299" s="85">
        <f t="shared" ref="D299:I299" si="30">SUM(D300:D305)</f>
        <v>0</v>
      </c>
      <c r="E299" s="85">
        <f t="shared" si="30"/>
        <v>0</v>
      </c>
      <c r="F299" s="85">
        <f t="shared" si="30"/>
        <v>0</v>
      </c>
      <c r="G299" s="85">
        <f t="shared" si="30"/>
        <v>5224.4975999999997</v>
      </c>
      <c r="H299" s="85">
        <f t="shared" si="30"/>
        <v>0</v>
      </c>
      <c r="I299" s="85">
        <f t="shared" si="30"/>
        <v>0</v>
      </c>
      <c r="J299" s="134"/>
      <c r="K299" s="134">
        <f t="shared" si="22"/>
        <v>0</v>
      </c>
      <c r="L299" s="130">
        <f t="shared" si="21"/>
        <v>5224.4975999999997</v>
      </c>
    </row>
    <row r="300" spans="1:12" hidden="1" outlineLevel="1" x14ac:dyDescent="0.35">
      <c r="A300" s="37" t="s">
        <v>855</v>
      </c>
      <c r="B300" s="62" t="s">
        <v>856</v>
      </c>
      <c r="C300" s="54" t="s">
        <v>934</v>
      </c>
      <c r="D300" s="84">
        <f>+Referanseark!D297+(Referanseark!D297*'P2026 '!$D$1)</f>
        <v>0</v>
      </c>
      <c r="E300" s="84">
        <f>+Referanseark!E297+(Referanseark!E297*'P2026 '!$D$1)</f>
        <v>0</v>
      </c>
      <c r="F300" s="84">
        <f>+Referanseark!F297+(Referanseark!F297*'P2026 '!$D$1)</f>
        <v>0</v>
      </c>
      <c r="G300" s="84">
        <f>+Referanseark!G297+(Referanseark!G297*'P2026 '!$D$1)</f>
        <v>672.48159999999996</v>
      </c>
      <c r="H300" s="84">
        <f>+Referanseark!H297+(Referanseark!H297*'P2026 '!$D$1)</f>
        <v>0</v>
      </c>
      <c r="I300" s="84">
        <f>+Referanseark!I297+(Referanseark!I297*'P2026 '!$D$1)</f>
        <v>0</v>
      </c>
      <c r="J300" s="134"/>
      <c r="K300" s="134">
        <f t="shared" si="22"/>
        <v>0</v>
      </c>
      <c r="L300" s="130">
        <f t="shared" si="21"/>
        <v>672.48159999999996</v>
      </c>
    </row>
    <row r="301" spans="1:12" hidden="1" outlineLevel="1" x14ac:dyDescent="0.35">
      <c r="A301" s="37" t="s">
        <v>857</v>
      </c>
      <c r="B301" s="62" t="s">
        <v>858</v>
      </c>
      <c r="C301" s="54" t="s">
        <v>934</v>
      </c>
      <c r="D301" s="84">
        <f>+Referanseark!D298+(Referanseark!D298*'P2026 '!$D$1)</f>
        <v>0</v>
      </c>
      <c r="E301" s="84">
        <f>+Referanseark!E298+(Referanseark!E298*'P2026 '!$D$1)</f>
        <v>0</v>
      </c>
      <c r="F301" s="84">
        <f>+Referanseark!F298+(Referanseark!F298*'P2026 '!$D$1)</f>
        <v>0</v>
      </c>
      <c r="G301" s="84">
        <f>+Referanseark!G298+(Referanseark!G298*'P2026 '!$D$1)</f>
        <v>0</v>
      </c>
      <c r="H301" s="84">
        <f>+Referanseark!H298+(Referanseark!H298*'P2026 '!$D$1)</f>
        <v>0</v>
      </c>
      <c r="I301" s="84">
        <f>+Referanseark!I298+(Referanseark!I298*'P2026 '!$D$1)</f>
        <v>0</v>
      </c>
      <c r="J301" s="134"/>
      <c r="K301" s="134">
        <f t="shared" si="22"/>
        <v>0</v>
      </c>
      <c r="L301" s="130">
        <f t="shared" si="21"/>
        <v>0</v>
      </c>
    </row>
    <row r="302" spans="1:12" hidden="1" outlineLevel="1" x14ac:dyDescent="0.35">
      <c r="A302" s="37" t="s">
        <v>859</v>
      </c>
      <c r="B302" s="62" t="s">
        <v>860</v>
      </c>
      <c r="C302" s="54" t="s">
        <v>934</v>
      </c>
      <c r="D302" s="84">
        <f>+Referanseark!D299+(Referanseark!D299*'P2026 '!$D$1)</f>
        <v>0</v>
      </c>
      <c r="E302" s="84">
        <f>+Referanseark!E299+(Referanseark!E299*'P2026 '!$D$1)</f>
        <v>0</v>
      </c>
      <c r="F302" s="84">
        <f>+Referanseark!F299+(Referanseark!F299*'P2026 '!$D$1)</f>
        <v>0</v>
      </c>
      <c r="G302" s="84">
        <f>+Referanseark!G299+(Referanseark!G299*'P2026 '!$D$1)</f>
        <v>662.70399999999995</v>
      </c>
      <c r="H302" s="84">
        <f>+Referanseark!H299+(Referanseark!H299*'P2026 '!$D$1)</f>
        <v>0</v>
      </c>
      <c r="I302" s="84">
        <f>+Referanseark!I299+(Referanseark!I299*'P2026 '!$D$1)</f>
        <v>0</v>
      </c>
      <c r="J302" s="134"/>
      <c r="K302" s="134">
        <f t="shared" si="22"/>
        <v>0</v>
      </c>
      <c r="L302" s="130">
        <f t="shared" si="21"/>
        <v>662.70399999999995</v>
      </c>
    </row>
    <row r="303" spans="1:12" hidden="1" outlineLevel="1" x14ac:dyDescent="0.35">
      <c r="A303" s="37" t="s">
        <v>861</v>
      </c>
      <c r="B303" s="62" t="s">
        <v>862</v>
      </c>
      <c r="C303" s="54" t="s">
        <v>934</v>
      </c>
      <c r="D303" s="84">
        <f>+Referanseark!D300+(Referanseark!D300*'P2026 '!$D$1)</f>
        <v>0</v>
      </c>
      <c r="E303" s="84">
        <f>+Referanseark!E300+(Referanseark!E300*'P2026 '!$D$1)</f>
        <v>0</v>
      </c>
      <c r="F303" s="84">
        <f>+Referanseark!F300+(Referanseark!F300*'P2026 '!$D$1)</f>
        <v>0</v>
      </c>
      <c r="G303" s="84">
        <f>+Referanseark!G300+(Referanseark!G300*'P2026 '!$D$1)</f>
        <v>3889.3119999999999</v>
      </c>
      <c r="H303" s="84">
        <f>+Referanseark!H300+(Referanseark!H300*'P2026 '!$D$1)</f>
        <v>0</v>
      </c>
      <c r="I303" s="84">
        <f>+Referanseark!I300+(Referanseark!I300*'P2026 '!$D$1)</f>
        <v>0</v>
      </c>
      <c r="J303" s="134"/>
      <c r="K303" s="134">
        <f t="shared" si="22"/>
        <v>0</v>
      </c>
      <c r="L303" s="130">
        <f t="shared" si="21"/>
        <v>3889.3119999999999</v>
      </c>
    </row>
    <row r="304" spans="1:12" hidden="1" outlineLevel="1" x14ac:dyDescent="0.35">
      <c r="A304" s="37" t="s">
        <v>863</v>
      </c>
      <c r="B304" s="62" t="s">
        <v>864</v>
      </c>
      <c r="C304" s="54" t="s">
        <v>934</v>
      </c>
      <c r="D304" s="84">
        <f>+Referanseark!D301+(Referanseark!D301*'P2026 '!$D$1)</f>
        <v>0</v>
      </c>
      <c r="E304" s="84">
        <f>+Referanseark!E301+(Referanseark!E301*'P2026 '!$D$1)</f>
        <v>0</v>
      </c>
      <c r="F304" s="84">
        <f>+Referanseark!F301+(Referanseark!F301*'P2026 '!$D$1)</f>
        <v>0</v>
      </c>
      <c r="G304" s="84">
        <f>+Referanseark!G301+(Referanseark!G301*'P2026 '!$D$1)</f>
        <v>0</v>
      </c>
      <c r="H304" s="84">
        <f>+Referanseark!H301+(Referanseark!H301*'P2026 '!$D$1)</f>
        <v>0</v>
      </c>
      <c r="I304" s="84">
        <f>+Referanseark!I301+(Referanseark!I301*'P2026 '!$D$1)</f>
        <v>0</v>
      </c>
      <c r="J304" s="134"/>
      <c r="K304" s="134">
        <f t="shared" si="22"/>
        <v>0</v>
      </c>
      <c r="L304" s="130">
        <f t="shared" si="21"/>
        <v>0</v>
      </c>
    </row>
    <row r="305" spans="1:12" hidden="1" outlineLevel="1" x14ac:dyDescent="0.35">
      <c r="A305" s="37" t="s">
        <v>865</v>
      </c>
      <c r="B305" s="62" t="s">
        <v>866</v>
      </c>
      <c r="C305" s="54" t="s">
        <v>934</v>
      </c>
      <c r="D305" s="84">
        <f>+Referanseark!D302+(Referanseark!D302*'P2026 '!$D$1)</f>
        <v>0</v>
      </c>
      <c r="E305" s="84">
        <f>+Referanseark!E302+(Referanseark!E302*'P2026 '!$D$1)</f>
        <v>0</v>
      </c>
      <c r="F305" s="84">
        <f>+Referanseark!F302+(Referanseark!F302*'P2026 '!$D$1)</f>
        <v>0</v>
      </c>
      <c r="G305" s="84">
        <f>+Referanseark!G302+(Referanseark!G302*'P2026 '!$D$1)</f>
        <v>0</v>
      </c>
      <c r="H305" s="84">
        <f>+Referanseark!H302+(Referanseark!H302*'P2026 '!$D$1)</f>
        <v>0</v>
      </c>
      <c r="I305" s="84">
        <f>+Referanseark!I302+(Referanseark!I302*'P2026 '!$D$1)</f>
        <v>0</v>
      </c>
      <c r="J305" s="134"/>
      <c r="K305" s="134">
        <f t="shared" si="22"/>
        <v>0</v>
      </c>
      <c r="L305" s="130">
        <f t="shared" si="21"/>
        <v>0</v>
      </c>
    </row>
    <row r="306" spans="1:12" s="12" customFormat="1" x14ac:dyDescent="0.35">
      <c r="A306" s="42"/>
      <c r="B306" s="81" t="s">
        <v>1288</v>
      </c>
      <c r="C306" s="58"/>
      <c r="D306" s="90">
        <f t="shared" ref="D306:I306" si="31">D286+D287-D299</f>
        <v>2296.2039991477227</v>
      </c>
      <c r="E306" s="90">
        <f t="shared" si="31"/>
        <v>205392.46904536744</v>
      </c>
      <c r="F306" s="90">
        <f t="shared" si="31"/>
        <v>504202.7266249205</v>
      </c>
      <c r="G306" s="90">
        <f t="shared" si="31"/>
        <v>740588.0435680513</v>
      </c>
      <c r="H306" s="90">
        <f t="shared" si="31"/>
        <v>138795.92529584607</v>
      </c>
      <c r="I306" s="90">
        <f t="shared" si="31"/>
        <v>43650.465600000083</v>
      </c>
      <c r="J306" s="135"/>
      <c r="K306" s="135">
        <f t="shared" si="22"/>
        <v>43650.465600000083</v>
      </c>
      <c r="L306" s="136">
        <f t="shared" si="21"/>
        <v>1634925.8341333331</v>
      </c>
    </row>
    <row r="307" spans="1:12" ht="15" collapsed="1" thickBot="1" x14ac:dyDescent="0.4">
      <c r="A307" s="37"/>
      <c r="B307" s="62" t="s">
        <v>935</v>
      </c>
      <c r="C307" s="54"/>
      <c r="D307" s="85">
        <f>SUM(D308:D309)</f>
        <v>0</v>
      </c>
      <c r="E307" s="85">
        <f>SUM(E308:E309)</f>
        <v>0</v>
      </c>
      <c r="F307" s="85">
        <f t="shared" ref="F307" si="32">SUM(F308:F309)</f>
        <v>0</v>
      </c>
      <c r="G307" s="85">
        <f t="shared" ref="G307:H307" si="33">SUM(G308:G309)</f>
        <v>0</v>
      </c>
      <c r="H307" s="85">
        <f t="shared" si="33"/>
        <v>0</v>
      </c>
      <c r="I307" s="85">
        <f t="shared" ref="I307" si="34">SUM(I308:I309)</f>
        <v>0</v>
      </c>
      <c r="J307" s="85"/>
      <c r="K307" s="134">
        <f t="shared" si="22"/>
        <v>0</v>
      </c>
      <c r="L307" s="130">
        <f t="shared" si="21"/>
        <v>0</v>
      </c>
    </row>
    <row r="308" spans="1:12" hidden="1" outlineLevel="1" x14ac:dyDescent="0.35">
      <c r="A308" s="37" t="s">
        <v>867</v>
      </c>
      <c r="B308" s="62" t="s">
        <v>868</v>
      </c>
      <c r="C308" s="54" t="s">
        <v>935</v>
      </c>
      <c r="D308" s="84">
        <f>+Referanseark!D305+(Referanseark!D305*'P2026 '!$D$1)</f>
        <v>0</v>
      </c>
      <c r="E308" s="84">
        <f>+Referanseark!E305+(Referanseark!E305*'P2026 '!$D$1)</f>
        <v>0</v>
      </c>
      <c r="F308" s="84">
        <f>+Referanseark!F305+(Referanseark!F305*'P2026 '!$D$1)</f>
        <v>0</v>
      </c>
      <c r="G308" s="84">
        <f>+Referanseark!G305+(Referanseark!G305*'P2026 '!$D$1)</f>
        <v>0</v>
      </c>
      <c r="H308" s="84">
        <f>+Referanseark!H305+(Referanseark!H305*'P2026 '!$D$1)</f>
        <v>0</v>
      </c>
      <c r="I308" s="84">
        <f>+Referanseark!I305+(Referanseark!I305*'P2026 '!$D$1)</f>
        <v>0</v>
      </c>
      <c r="J308" s="134"/>
      <c r="K308" s="134">
        <f t="shared" si="22"/>
        <v>0</v>
      </c>
      <c r="L308" s="130">
        <f t="shared" si="21"/>
        <v>0</v>
      </c>
    </row>
    <row r="309" spans="1:12" ht="15" hidden="1" outlineLevel="1" thickBot="1" x14ac:dyDescent="0.4">
      <c r="A309" s="37" t="s">
        <v>869</v>
      </c>
      <c r="B309" s="62" t="s">
        <v>870</v>
      </c>
      <c r="C309" s="54" t="s">
        <v>935</v>
      </c>
      <c r="D309" s="84">
        <f>+Referanseark!D306+(Referanseark!D306*'P2026 '!$D$1)</f>
        <v>0</v>
      </c>
      <c r="E309" s="84">
        <f>+Referanseark!E306+(Referanseark!E306*'P2026 '!$D$1)</f>
        <v>0</v>
      </c>
      <c r="F309" s="84">
        <f>+Referanseark!F306+(Referanseark!F306*'P2026 '!$D$1)</f>
        <v>0</v>
      </c>
      <c r="G309" s="84">
        <f>+Referanseark!G306+(Referanseark!G306*'P2026 '!$D$1)</f>
        <v>0</v>
      </c>
      <c r="H309" s="84">
        <f>+Referanseark!H306+(Referanseark!H306*'P2026 '!$D$1)</f>
        <v>0</v>
      </c>
      <c r="I309" s="84">
        <f>+Referanseark!I306+(Referanseark!I306*'P2026 '!$D$1)</f>
        <v>0</v>
      </c>
      <c r="J309" s="134"/>
      <c r="K309" s="134">
        <f t="shared" si="22"/>
        <v>0</v>
      </c>
      <c r="L309" s="130">
        <f t="shared" si="21"/>
        <v>0</v>
      </c>
    </row>
    <row r="310" spans="1:12" ht="15" collapsed="1" thickBot="1" x14ac:dyDescent="0.4">
      <c r="A310" s="37"/>
      <c r="B310" s="112" t="s">
        <v>872</v>
      </c>
      <c r="C310" s="50"/>
      <c r="D310" s="114">
        <f t="shared" ref="D310:I310" si="35">SUM(D311:D314)</f>
        <v>0</v>
      </c>
      <c r="E310" s="114">
        <f t="shared" si="35"/>
        <v>0</v>
      </c>
      <c r="F310" s="114">
        <f t="shared" si="35"/>
        <v>0</v>
      </c>
      <c r="G310" s="114">
        <f t="shared" si="35"/>
        <v>0</v>
      </c>
      <c r="H310" s="114">
        <f t="shared" si="35"/>
        <v>0</v>
      </c>
      <c r="I310" s="114">
        <f t="shared" si="35"/>
        <v>0</v>
      </c>
      <c r="J310" s="115"/>
      <c r="K310" s="139">
        <f t="shared" si="22"/>
        <v>0</v>
      </c>
      <c r="L310" s="140">
        <f t="shared" si="21"/>
        <v>0</v>
      </c>
    </row>
    <row r="311" spans="1:12" hidden="1" outlineLevel="1" x14ac:dyDescent="0.35">
      <c r="A311" s="37" t="s">
        <v>871</v>
      </c>
      <c r="B311" s="44" t="s">
        <v>872</v>
      </c>
      <c r="C311" s="44" t="s">
        <v>872</v>
      </c>
      <c r="D311" s="84">
        <f>+Referanseark!D308+(Referanseark!D308*'P2026 '!$D$1)</f>
        <v>0</v>
      </c>
      <c r="E311" s="84">
        <f>+Referanseark!E308+(Referanseark!E308*'P2026 '!$D$1)</f>
        <v>0</v>
      </c>
      <c r="F311" s="84">
        <f>+Referanseark!F308+(Referanseark!F308*'P2026 '!$D$1)</f>
        <v>0</v>
      </c>
      <c r="G311" s="84">
        <f>+Referanseark!G308+(Referanseark!G308*'P2026 '!$D$1)</f>
        <v>0</v>
      </c>
      <c r="H311" s="84">
        <f>+Referanseark!H308+(Referanseark!H308*'P2026 '!$D$1)</f>
        <v>0</v>
      </c>
      <c r="I311" s="84">
        <f>+Referanseark!I308+(Referanseark!I308*'P2026 '!$D$1)</f>
        <v>0</v>
      </c>
    </row>
    <row r="312" spans="1:12" hidden="1" outlineLevel="1" x14ac:dyDescent="0.35">
      <c r="A312" s="37" t="s">
        <v>873</v>
      </c>
      <c r="B312" s="44" t="s">
        <v>874</v>
      </c>
      <c r="C312" s="44" t="s">
        <v>872</v>
      </c>
      <c r="D312" s="84">
        <f>+Referanseark!D309+(Referanseark!D309*'P2026 '!$D$1)</f>
        <v>0</v>
      </c>
      <c r="E312" s="84">
        <f>+Referanseark!E309+(Referanseark!E309*'P2026 '!$D$1)</f>
        <v>0</v>
      </c>
      <c r="F312" s="84">
        <f>+Referanseark!F309+(Referanseark!F309*'P2026 '!$D$1)</f>
        <v>0</v>
      </c>
      <c r="G312" s="84">
        <f>+Referanseark!G309+(Referanseark!G309*'P2026 '!$D$1)</f>
        <v>0</v>
      </c>
      <c r="H312" s="84">
        <f>+Referanseark!H309+(Referanseark!H309*'P2026 '!$D$1)</f>
        <v>0</v>
      </c>
      <c r="I312" s="84">
        <f>+Referanseark!I309+(Referanseark!I309*'P2026 '!$D$1)</f>
        <v>0</v>
      </c>
    </row>
    <row r="313" spans="1:12" hidden="1" outlineLevel="1" x14ac:dyDescent="0.35">
      <c r="A313" s="37" t="s">
        <v>875</v>
      </c>
      <c r="B313" s="44" t="s">
        <v>876</v>
      </c>
      <c r="C313" s="44" t="s">
        <v>872</v>
      </c>
      <c r="D313" s="84">
        <f>+Referanseark!D310+(Referanseark!D310*'P2026 '!$D$1)</f>
        <v>0</v>
      </c>
      <c r="E313" s="84">
        <f>+Referanseark!E310+(Referanseark!E310*'P2026 '!$D$1)</f>
        <v>0</v>
      </c>
      <c r="F313" s="84">
        <f>+Referanseark!F310+(Referanseark!F310*'P2026 '!$D$1)</f>
        <v>0</v>
      </c>
      <c r="G313" s="84">
        <f>+Referanseark!G310+(Referanseark!G310*'P2026 '!$D$1)</f>
        <v>0</v>
      </c>
      <c r="H313" s="84">
        <f>+Referanseark!H310+(Referanseark!H310*'P2026 '!$D$1)</f>
        <v>0</v>
      </c>
      <c r="I313" s="84">
        <f>+Referanseark!I310+(Referanseark!I310*'P2026 '!$D$1)</f>
        <v>0</v>
      </c>
    </row>
    <row r="314" spans="1:12" hidden="1" outlineLevel="1" x14ac:dyDescent="0.35">
      <c r="A314" s="37" t="s">
        <v>877</v>
      </c>
      <c r="B314" s="44" t="s">
        <v>878</v>
      </c>
      <c r="C314" s="44" t="s">
        <v>872</v>
      </c>
      <c r="D314" s="84">
        <f>+Referanseark!D311+(Referanseark!D311*'P2026 '!$D$1)</f>
        <v>0</v>
      </c>
      <c r="E314" s="84">
        <f>+Referanseark!E311+(Referanseark!E311*'P2026 '!$D$1)</f>
        <v>0</v>
      </c>
      <c r="F314" s="84">
        <f>+Referanseark!F311+(Referanseark!F311*'P2026 '!$D$1)</f>
        <v>0</v>
      </c>
      <c r="G314" s="84">
        <f>+Referanseark!G311+(Referanseark!G311*'P2026 '!$D$1)</f>
        <v>0</v>
      </c>
      <c r="H314" s="84">
        <f>+Referanseark!H311+(Referanseark!H311*'P2026 '!$D$1)</f>
        <v>0</v>
      </c>
      <c r="I314" s="84">
        <f>+Referanseark!I311+(Referanseark!I311*'P2026 '!$D$1)</f>
        <v>0</v>
      </c>
    </row>
    <row r="315" spans="1:12" collapsed="1" x14ac:dyDescent="0.35">
      <c r="A315" s="37"/>
      <c r="B315" s="46"/>
      <c r="C315" s="46"/>
      <c r="D315" s="39"/>
      <c r="E315" s="39"/>
      <c r="F315" s="39"/>
      <c r="G315" s="46"/>
      <c r="H315" s="39"/>
      <c r="I315" s="39"/>
    </row>
    <row r="316" spans="1:12" x14ac:dyDescent="0.35">
      <c r="A316" s="37"/>
      <c r="B316" s="46"/>
      <c r="C316" s="46"/>
      <c r="D316" s="39"/>
      <c r="E316" s="39"/>
      <c r="F316" s="39"/>
      <c r="G316" s="46"/>
      <c r="H316" s="39"/>
      <c r="I316" s="39"/>
    </row>
    <row r="317" spans="1:12" x14ac:dyDescent="0.35">
      <c r="A317" s="37"/>
      <c r="B317" s="60"/>
      <c r="C317" s="46"/>
      <c r="D317" s="39"/>
      <c r="E317" s="39"/>
      <c r="F317" s="39"/>
      <c r="G317" s="46"/>
      <c r="H317" s="39"/>
      <c r="I317" s="39"/>
    </row>
    <row r="318" spans="1:12" x14ac:dyDescent="0.35">
      <c r="B318" s="22"/>
      <c r="C318" s="22"/>
      <c r="G318" s="33"/>
    </row>
    <row r="319" spans="1:12" x14ac:dyDescent="0.35">
      <c r="B319" s="22"/>
      <c r="C319" s="22"/>
      <c r="G319" s="33"/>
    </row>
    <row r="320" spans="1:12" x14ac:dyDescent="0.35">
      <c r="B320" s="22"/>
      <c r="C320" s="22"/>
      <c r="G320" s="33"/>
    </row>
    <row r="321" spans="1:7" x14ac:dyDescent="0.35">
      <c r="B321" s="22"/>
      <c r="C321" s="22"/>
      <c r="G321" s="33"/>
    </row>
    <row r="322" spans="1:7" x14ac:dyDescent="0.35">
      <c r="B322" s="22"/>
      <c r="C322" s="22"/>
      <c r="G322" s="33"/>
    </row>
    <row r="323" spans="1:7" x14ac:dyDescent="0.35">
      <c r="B323" s="22"/>
      <c r="C323" s="22"/>
      <c r="G323" s="33"/>
    </row>
    <row r="324" spans="1:7" x14ac:dyDescent="0.35">
      <c r="B324" s="22"/>
      <c r="C324" s="22"/>
      <c r="G324" s="33"/>
    </row>
    <row r="325" spans="1:7" x14ac:dyDescent="0.35">
      <c r="B325" s="22"/>
      <c r="C325" s="22"/>
      <c r="G325" s="33"/>
    </row>
    <row r="326" spans="1:7" x14ac:dyDescent="0.35">
      <c r="B326" s="22"/>
      <c r="C326" s="22"/>
      <c r="G326" s="33"/>
    </row>
    <row r="327" spans="1:7" x14ac:dyDescent="0.35">
      <c r="B327" s="22"/>
      <c r="C327" s="22"/>
      <c r="G327" s="33"/>
    </row>
    <row r="328" spans="1:7" x14ac:dyDescent="0.35">
      <c r="B328" s="22"/>
      <c r="C328" s="22"/>
      <c r="G328" s="33"/>
    </row>
    <row r="329" spans="1:7" x14ac:dyDescent="0.35">
      <c r="B329" s="22"/>
      <c r="C329" s="22"/>
      <c r="G329" s="33"/>
    </row>
    <row r="330" spans="1:7" x14ac:dyDescent="0.35">
      <c r="B330" s="22"/>
      <c r="C330" s="22"/>
      <c r="G330" s="33"/>
    </row>
    <row r="331" spans="1:7" x14ac:dyDescent="0.35">
      <c r="B331" s="22"/>
      <c r="C331" s="22"/>
      <c r="G331" s="33"/>
    </row>
    <row r="332" spans="1:7" s="27" customFormat="1" x14ac:dyDescent="0.35">
      <c r="A332" s="14"/>
      <c r="B332" s="22"/>
      <c r="C332" s="22"/>
      <c r="G332" s="33"/>
    </row>
    <row r="333" spans="1:7" s="27" customFormat="1" x14ac:dyDescent="0.35">
      <c r="A333" s="14"/>
      <c r="B333" s="22"/>
      <c r="C333" s="22"/>
      <c r="G333" s="33"/>
    </row>
    <row r="334" spans="1:7" s="27" customFormat="1" x14ac:dyDescent="0.35">
      <c r="A334" s="14"/>
      <c r="B334" s="22"/>
      <c r="C334" s="22"/>
      <c r="G334" s="33"/>
    </row>
    <row r="335" spans="1:7" s="27" customFormat="1" x14ac:dyDescent="0.35">
      <c r="A335" s="14"/>
      <c r="B335" s="22"/>
      <c r="C335" s="22"/>
      <c r="G335" s="33"/>
    </row>
  </sheetData>
  <dataConsolidate/>
  <pageMargins left="0.51181102362204722" right="0.51181102362204722" top="0.74803149606299213" bottom="0.74803149606299213" header="0.31496062992125984" footer="0.31496062992125984"/>
  <pageSetup paperSize="9" scale="60" fitToHeight="13" orientation="landscape" horizontalDpi="300" verticalDpi="300" r:id="rId1"/>
  <headerFooter alignWithMargins="0"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>
    <pageSetUpPr fitToPage="1"/>
  </sheetPr>
  <dimension ref="A1:G508"/>
  <sheetViews>
    <sheetView zoomScaleNormal="100" workbookViewId="0">
      <selection activeCell="C29" sqref="C29"/>
    </sheetView>
  </sheetViews>
  <sheetFormatPr baseColWidth="10" defaultColWidth="9.1796875" defaultRowHeight="14.5" x14ac:dyDescent="0.35"/>
  <cols>
    <col min="1" max="1" width="8.1796875" customWidth="1"/>
    <col min="2" max="2" width="42" customWidth="1"/>
    <col min="3" max="3" width="23.81640625" customWidth="1"/>
    <col min="4" max="4" width="45.1796875" customWidth="1"/>
    <col min="5" max="5" width="6.81640625" bestFit="1" customWidth="1"/>
    <col min="6" max="6" width="19.453125" bestFit="1" customWidth="1"/>
    <col min="7" max="7" width="20" bestFit="1" customWidth="1"/>
  </cols>
  <sheetData>
    <row r="1" spans="1:7" ht="26" x14ac:dyDescent="0.6">
      <c r="A1" s="13" t="s">
        <v>1178</v>
      </c>
    </row>
    <row r="2" spans="1:7" ht="18" customHeight="1" x14ac:dyDescent="0.4">
      <c r="A2" s="1" t="s">
        <v>1179</v>
      </c>
    </row>
    <row r="4" spans="1:7" x14ac:dyDescent="0.35">
      <c r="A4" s="2" t="s">
        <v>1</v>
      </c>
      <c r="B4" s="2" t="s">
        <v>2</v>
      </c>
      <c r="C4" s="2" t="s">
        <v>879</v>
      </c>
      <c r="D4" s="2" t="s">
        <v>880</v>
      </c>
      <c r="E4" s="2" t="s">
        <v>1180</v>
      </c>
      <c r="F4" s="2" t="s">
        <v>1181</v>
      </c>
      <c r="G4" s="2" t="s">
        <v>1182</v>
      </c>
    </row>
    <row r="5" spans="1:7" x14ac:dyDescent="0.35">
      <c r="A5" s="3" t="s">
        <v>3</v>
      </c>
      <c r="B5" s="3" t="s">
        <v>4</v>
      </c>
      <c r="C5" s="3" t="s">
        <v>881</v>
      </c>
      <c r="D5" s="3" t="s">
        <v>4</v>
      </c>
      <c r="E5" s="3" t="s">
        <v>1183</v>
      </c>
      <c r="F5" s="3" t="s">
        <v>1183</v>
      </c>
      <c r="G5" s="3" t="s">
        <v>1183</v>
      </c>
    </row>
    <row r="6" spans="1:7" x14ac:dyDescent="0.35">
      <c r="A6" s="3" t="s">
        <v>5</v>
      </c>
      <c r="B6" s="3" t="s">
        <v>6</v>
      </c>
      <c r="C6" s="3" t="s">
        <v>881</v>
      </c>
      <c r="D6" s="3" t="s">
        <v>882</v>
      </c>
      <c r="E6" s="3" t="s">
        <v>1183</v>
      </c>
      <c r="F6" s="3" t="s">
        <v>1183</v>
      </c>
      <c r="G6" s="3" t="s">
        <v>1183</v>
      </c>
    </row>
    <row r="7" spans="1:7" x14ac:dyDescent="0.35">
      <c r="A7" s="3" t="s">
        <v>7</v>
      </c>
      <c r="B7" s="3" t="s">
        <v>8</v>
      </c>
      <c r="C7" s="3" t="s">
        <v>881</v>
      </c>
      <c r="D7" s="3" t="s">
        <v>882</v>
      </c>
      <c r="E7" s="3" t="s">
        <v>1183</v>
      </c>
      <c r="F7" s="3" t="s">
        <v>1183</v>
      </c>
      <c r="G7" s="3" t="s">
        <v>1183</v>
      </c>
    </row>
    <row r="8" spans="1:7" x14ac:dyDescent="0.35">
      <c r="A8" s="3" t="s">
        <v>9</v>
      </c>
      <c r="B8" s="3" t="s">
        <v>10</v>
      </c>
      <c r="C8" s="3" t="s">
        <v>881</v>
      </c>
      <c r="D8" s="3" t="s">
        <v>882</v>
      </c>
      <c r="E8" s="3" t="s">
        <v>1183</v>
      </c>
      <c r="F8" s="3" t="s">
        <v>1183</v>
      </c>
      <c r="G8" s="3" t="s">
        <v>1183</v>
      </c>
    </row>
    <row r="9" spans="1:7" x14ac:dyDescent="0.35">
      <c r="A9" s="3" t="s">
        <v>12</v>
      </c>
      <c r="B9" s="3" t="s">
        <v>13</v>
      </c>
      <c r="C9" s="3" t="s">
        <v>881</v>
      </c>
      <c r="D9" s="3" t="s">
        <v>882</v>
      </c>
      <c r="E9" s="3" t="s">
        <v>1183</v>
      </c>
      <c r="F9" s="3" t="s">
        <v>1183</v>
      </c>
      <c r="G9" s="3" t="s">
        <v>1183</v>
      </c>
    </row>
    <row r="10" spans="1:7" x14ac:dyDescent="0.35">
      <c r="A10" s="3" t="s">
        <v>14</v>
      </c>
      <c r="B10" s="3" t="s">
        <v>15</v>
      </c>
      <c r="C10" s="3" t="s">
        <v>881</v>
      </c>
      <c r="D10" s="3" t="s">
        <v>882</v>
      </c>
      <c r="E10" s="3" t="s">
        <v>1183</v>
      </c>
      <c r="F10" s="3" t="s">
        <v>1183</v>
      </c>
      <c r="G10" s="3" t="s">
        <v>1183</v>
      </c>
    </row>
    <row r="11" spans="1:7" x14ac:dyDescent="0.35">
      <c r="A11" s="3" t="s">
        <v>16</v>
      </c>
      <c r="B11" s="3" t="s">
        <v>17</v>
      </c>
      <c r="C11" s="3" t="s">
        <v>881</v>
      </c>
      <c r="D11" s="3" t="s">
        <v>17</v>
      </c>
      <c r="E11" s="3" t="s">
        <v>1183</v>
      </c>
      <c r="F11" s="3" t="s">
        <v>1183</v>
      </c>
      <c r="G11" s="3" t="s">
        <v>1183</v>
      </c>
    </row>
    <row r="12" spans="1:7" x14ac:dyDescent="0.35">
      <c r="A12" s="3" t="s">
        <v>18</v>
      </c>
      <c r="B12" s="3" t="s">
        <v>19</v>
      </c>
      <c r="C12" s="3" t="s">
        <v>881</v>
      </c>
      <c r="D12" s="3" t="s">
        <v>19</v>
      </c>
      <c r="E12" s="3" t="s">
        <v>1183</v>
      </c>
      <c r="F12" s="3" t="s">
        <v>1183</v>
      </c>
      <c r="G12" s="3" t="s">
        <v>1183</v>
      </c>
    </row>
    <row r="13" spans="1:7" x14ac:dyDescent="0.35">
      <c r="A13" s="3" t="s">
        <v>20</v>
      </c>
      <c r="B13" s="3" t="s">
        <v>1184</v>
      </c>
      <c r="C13" s="3" t="s">
        <v>884</v>
      </c>
      <c r="D13" s="3" t="s">
        <v>885</v>
      </c>
      <c r="E13" s="3" t="s">
        <v>1185</v>
      </c>
      <c r="F13" s="3" t="s">
        <v>1183</v>
      </c>
      <c r="G13" s="3" t="s">
        <v>1185</v>
      </c>
    </row>
    <row r="14" spans="1:7" x14ac:dyDescent="0.35">
      <c r="A14" s="3" t="s">
        <v>22</v>
      </c>
      <c r="B14" s="3" t="s">
        <v>1186</v>
      </c>
      <c r="C14" s="3" t="s">
        <v>884</v>
      </c>
      <c r="D14" s="3" t="s">
        <v>885</v>
      </c>
      <c r="E14" s="3" t="s">
        <v>1185</v>
      </c>
      <c r="F14" s="3" t="s">
        <v>1183</v>
      </c>
      <c r="G14" s="3" t="s">
        <v>1185</v>
      </c>
    </row>
    <row r="15" spans="1:7" x14ac:dyDescent="0.35">
      <c r="A15" s="3" t="s">
        <v>24</v>
      </c>
      <c r="B15" s="3" t="s">
        <v>1187</v>
      </c>
      <c r="C15" s="3" t="s">
        <v>884</v>
      </c>
      <c r="D15" s="3" t="s">
        <v>885</v>
      </c>
      <c r="E15" s="3" t="s">
        <v>1185</v>
      </c>
      <c r="F15" s="3" t="s">
        <v>1183</v>
      </c>
      <c r="G15" s="3" t="s">
        <v>1185</v>
      </c>
    </row>
    <row r="16" spans="1:7" x14ac:dyDescent="0.35">
      <c r="A16" s="3" t="s">
        <v>26</v>
      </c>
      <c r="B16" s="3" t="s">
        <v>1188</v>
      </c>
      <c r="C16" s="3" t="s">
        <v>884</v>
      </c>
      <c r="D16" s="3" t="s">
        <v>885</v>
      </c>
      <c r="E16" s="3" t="s">
        <v>1185</v>
      </c>
      <c r="F16" s="3" t="s">
        <v>1183</v>
      </c>
      <c r="G16" s="3" t="s">
        <v>1185</v>
      </c>
    </row>
    <row r="17" spans="1:7" x14ac:dyDescent="0.35">
      <c r="A17" s="3" t="s">
        <v>29</v>
      </c>
      <c r="B17" s="3" t="s">
        <v>1189</v>
      </c>
      <c r="C17" s="3" t="s">
        <v>884</v>
      </c>
      <c r="D17" s="3" t="s">
        <v>885</v>
      </c>
      <c r="E17" s="3" t="s">
        <v>1185</v>
      </c>
      <c r="F17" s="3" t="s">
        <v>1183</v>
      </c>
      <c r="G17" s="3" t="s">
        <v>1185</v>
      </c>
    </row>
    <row r="18" spans="1:7" x14ac:dyDescent="0.35">
      <c r="A18" s="3" t="s">
        <v>31</v>
      </c>
      <c r="B18" s="3" t="s">
        <v>1190</v>
      </c>
      <c r="C18" s="3" t="s">
        <v>884</v>
      </c>
      <c r="D18" s="3" t="s">
        <v>885</v>
      </c>
      <c r="E18" s="3" t="s">
        <v>1185</v>
      </c>
      <c r="F18" s="3" t="s">
        <v>1183</v>
      </c>
      <c r="G18" s="3" t="s">
        <v>1185</v>
      </c>
    </row>
    <row r="19" spans="1:7" x14ac:dyDescent="0.35">
      <c r="A19" s="3" t="s">
        <v>33</v>
      </c>
      <c r="B19" s="3" t="s">
        <v>1191</v>
      </c>
      <c r="C19" s="3" t="s">
        <v>884</v>
      </c>
      <c r="D19" s="3" t="s">
        <v>885</v>
      </c>
      <c r="E19" s="3" t="s">
        <v>1185</v>
      </c>
      <c r="F19" s="3" t="s">
        <v>1183</v>
      </c>
      <c r="G19" s="3" t="s">
        <v>1185</v>
      </c>
    </row>
    <row r="20" spans="1:7" x14ac:dyDescent="0.35">
      <c r="A20" s="3" t="s">
        <v>1192</v>
      </c>
      <c r="B20" s="3" t="s">
        <v>1193</v>
      </c>
      <c r="C20" s="3" t="s">
        <v>884</v>
      </c>
      <c r="D20" s="3" t="s">
        <v>885</v>
      </c>
      <c r="E20" s="3" t="s">
        <v>1185</v>
      </c>
      <c r="F20" s="3" t="s">
        <v>1183</v>
      </c>
      <c r="G20" s="3" t="s">
        <v>1185</v>
      </c>
    </row>
    <row r="21" spans="1:7" x14ac:dyDescent="0.35">
      <c r="A21" s="3" t="s">
        <v>35</v>
      </c>
      <c r="B21" s="3" t="s">
        <v>36</v>
      </c>
      <c r="C21" s="3" t="s">
        <v>881</v>
      </c>
      <c r="D21" s="3" t="s">
        <v>885</v>
      </c>
      <c r="E21" s="3" t="s">
        <v>1183</v>
      </c>
      <c r="F21" s="3" t="s">
        <v>1183</v>
      </c>
      <c r="G21" s="3" t="s">
        <v>1183</v>
      </c>
    </row>
    <row r="22" spans="1:7" x14ac:dyDescent="0.35">
      <c r="A22" s="3" t="s">
        <v>37</v>
      </c>
      <c r="B22" s="3" t="s">
        <v>38</v>
      </c>
      <c r="C22" s="3" t="s">
        <v>881</v>
      </c>
      <c r="D22" s="3" t="s">
        <v>885</v>
      </c>
      <c r="E22" s="3" t="s">
        <v>1183</v>
      </c>
      <c r="F22" s="3" t="s">
        <v>1183</v>
      </c>
      <c r="G22" s="3" t="s">
        <v>1183</v>
      </c>
    </row>
    <row r="23" spans="1:7" x14ac:dyDescent="0.35">
      <c r="A23" s="3" t="s">
        <v>39</v>
      </c>
      <c r="B23" s="3" t="s">
        <v>40</v>
      </c>
      <c r="C23" s="3" t="s">
        <v>881</v>
      </c>
      <c r="D23" s="3" t="s">
        <v>885</v>
      </c>
      <c r="E23" s="3" t="s">
        <v>1183</v>
      </c>
      <c r="F23" s="3" t="s">
        <v>1183</v>
      </c>
      <c r="G23" s="3" t="s">
        <v>1183</v>
      </c>
    </row>
    <row r="24" spans="1:7" x14ac:dyDescent="0.35">
      <c r="A24" s="3" t="s">
        <v>41</v>
      </c>
      <c r="B24" s="3" t="s">
        <v>42</v>
      </c>
      <c r="C24" s="3" t="s">
        <v>881</v>
      </c>
      <c r="D24" s="3" t="s">
        <v>885</v>
      </c>
      <c r="E24" s="3" t="s">
        <v>1183</v>
      </c>
      <c r="F24" s="3" t="s">
        <v>1183</v>
      </c>
      <c r="G24" s="3" t="s">
        <v>1183</v>
      </c>
    </row>
    <row r="25" spans="1:7" x14ac:dyDescent="0.35">
      <c r="A25" s="3" t="s">
        <v>43</v>
      </c>
      <c r="B25" s="3" t="s">
        <v>44</v>
      </c>
      <c r="C25" s="3" t="s">
        <v>881</v>
      </c>
      <c r="D25" s="3" t="s">
        <v>885</v>
      </c>
      <c r="E25" s="3" t="s">
        <v>1183</v>
      </c>
      <c r="F25" s="3" t="s">
        <v>1183</v>
      </c>
      <c r="G25" s="3" t="s">
        <v>1183</v>
      </c>
    </row>
    <row r="26" spans="1:7" x14ac:dyDescent="0.35">
      <c r="A26" s="3" t="s">
        <v>940</v>
      </c>
      <c r="B26" s="3" t="s">
        <v>941</v>
      </c>
      <c r="C26" s="3" t="s">
        <v>881</v>
      </c>
      <c r="D26" s="3" t="s">
        <v>885</v>
      </c>
      <c r="E26" s="3" t="s">
        <v>1183</v>
      </c>
      <c r="F26" s="3" t="s">
        <v>1183</v>
      </c>
      <c r="G26" s="3" t="s">
        <v>1183</v>
      </c>
    </row>
    <row r="27" spans="1:7" x14ac:dyDescent="0.35">
      <c r="A27" s="3" t="s">
        <v>942</v>
      </c>
      <c r="B27" s="3" t="s">
        <v>943</v>
      </c>
      <c r="C27" s="3" t="s">
        <v>881</v>
      </c>
      <c r="D27" s="3" t="s">
        <v>885</v>
      </c>
      <c r="E27" s="3" t="s">
        <v>1183</v>
      </c>
      <c r="F27" s="3" t="s">
        <v>1183</v>
      </c>
      <c r="G27" s="3" t="s">
        <v>1183</v>
      </c>
    </row>
    <row r="28" spans="1:7" x14ac:dyDescent="0.35">
      <c r="A28" s="3" t="s">
        <v>45</v>
      </c>
      <c r="B28" s="3" t="s">
        <v>46</v>
      </c>
      <c r="C28" s="3" t="s">
        <v>881</v>
      </c>
      <c r="D28" s="3" t="s">
        <v>885</v>
      </c>
      <c r="E28" s="3" t="s">
        <v>1185</v>
      </c>
      <c r="F28" s="3" t="s">
        <v>1183</v>
      </c>
      <c r="G28" s="3" t="s">
        <v>1185</v>
      </c>
    </row>
    <row r="29" spans="1:7" x14ac:dyDescent="0.35">
      <c r="A29" s="3" t="s">
        <v>47</v>
      </c>
      <c r="B29" s="3" t="s">
        <v>48</v>
      </c>
      <c r="C29" s="3" t="s">
        <v>881</v>
      </c>
      <c r="D29" s="3" t="s">
        <v>48</v>
      </c>
      <c r="E29" s="3" t="s">
        <v>1183</v>
      </c>
      <c r="F29" s="3" t="s">
        <v>1183</v>
      </c>
      <c r="G29" s="3" t="s">
        <v>1183</v>
      </c>
    </row>
    <row r="30" spans="1:7" x14ac:dyDescent="0.35">
      <c r="A30" s="3" t="s">
        <v>49</v>
      </c>
      <c r="B30" s="3" t="s">
        <v>50</v>
      </c>
      <c r="C30" s="3" t="s">
        <v>881</v>
      </c>
      <c r="D30" s="3" t="s">
        <v>48</v>
      </c>
      <c r="E30" s="3" t="s">
        <v>1183</v>
      </c>
      <c r="F30" s="3" t="s">
        <v>1183</v>
      </c>
      <c r="G30" s="3" t="s">
        <v>1183</v>
      </c>
    </row>
    <row r="31" spans="1:7" x14ac:dyDescent="0.35">
      <c r="A31" s="3" t="s">
        <v>944</v>
      </c>
      <c r="B31" s="3" t="s">
        <v>945</v>
      </c>
      <c r="C31" s="3" t="s">
        <v>881</v>
      </c>
      <c r="D31" s="3" t="s">
        <v>946</v>
      </c>
      <c r="E31" s="3" t="s">
        <v>1183</v>
      </c>
      <c r="F31" s="3" t="s">
        <v>1183</v>
      </c>
      <c r="G31" s="3" t="s">
        <v>1183</v>
      </c>
    </row>
    <row r="32" spans="1:7" x14ac:dyDescent="0.35">
      <c r="A32" s="3" t="s">
        <v>51</v>
      </c>
      <c r="B32" s="3" t="s">
        <v>52</v>
      </c>
      <c r="C32" s="3" t="s">
        <v>881</v>
      </c>
      <c r="D32" s="3" t="s">
        <v>886</v>
      </c>
      <c r="E32" s="3" t="s">
        <v>1183</v>
      </c>
      <c r="F32" s="3" t="s">
        <v>1183</v>
      </c>
      <c r="G32" s="3" t="s">
        <v>1183</v>
      </c>
    </row>
    <row r="33" spans="1:7" x14ac:dyDescent="0.35">
      <c r="A33" s="3" t="s">
        <v>53</v>
      </c>
      <c r="B33" s="3" t="s">
        <v>54</v>
      </c>
      <c r="C33" s="3" t="s">
        <v>881</v>
      </c>
      <c r="D33" s="3" t="s">
        <v>886</v>
      </c>
      <c r="E33" s="3" t="s">
        <v>1183</v>
      </c>
      <c r="F33" s="3" t="s">
        <v>1183</v>
      </c>
      <c r="G33" s="3" t="s">
        <v>1183</v>
      </c>
    </row>
    <row r="34" spans="1:7" x14ac:dyDescent="0.35">
      <c r="A34" s="3" t="s">
        <v>55</v>
      </c>
      <c r="B34" s="3" t="s">
        <v>56</v>
      </c>
      <c r="C34" s="3" t="s">
        <v>881</v>
      </c>
      <c r="D34" s="3" t="s">
        <v>886</v>
      </c>
      <c r="E34" s="3" t="s">
        <v>1183</v>
      </c>
      <c r="F34" s="3" t="s">
        <v>1183</v>
      </c>
      <c r="G34" s="3" t="s">
        <v>1183</v>
      </c>
    </row>
    <row r="35" spans="1:7" x14ac:dyDescent="0.35">
      <c r="A35" s="3" t="s">
        <v>57</v>
      </c>
      <c r="B35" s="3" t="s">
        <v>58</v>
      </c>
      <c r="C35" s="3" t="s">
        <v>881</v>
      </c>
      <c r="D35" s="3" t="s">
        <v>886</v>
      </c>
      <c r="E35" s="3" t="s">
        <v>1183</v>
      </c>
      <c r="F35" s="3" t="s">
        <v>1183</v>
      </c>
      <c r="G35" s="3" t="s">
        <v>1183</v>
      </c>
    </row>
    <row r="36" spans="1:7" x14ac:dyDescent="0.35">
      <c r="A36" s="3" t="s">
        <v>59</v>
      </c>
      <c r="B36" s="3" t="s">
        <v>60</v>
      </c>
      <c r="C36" s="3" t="s">
        <v>881</v>
      </c>
      <c r="D36" s="3" t="s">
        <v>886</v>
      </c>
      <c r="E36" s="3" t="s">
        <v>1183</v>
      </c>
      <c r="F36" s="3" t="s">
        <v>1183</v>
      </c>
      <c r="G36" s="3" t="s">
        <v>1183</v>
      </c>
    </row>
    <row r="37" spans="1:7" x14ac:dyDescent="0.35">
      <c r="A37" s="3" t="s">
        <v>61</v>
      </c>
      <c r="B37" s="3" t="s">
        <v>62</v>
      </c>
      <c r="C37" s="3" t="s">
        <v>881</v>
      </c>
      <c r="D37" s="3" t="s">
        <v>886</v>
      </c>
      <c r="E37" s="3" t="s">
        <v>1183</v>
      </c>
      <c r="F37" s="3" t="s">
        <v>1183</v>
      </c>
      <c r="G37" s="3" t="s">
        <v>1183</v>
      </c>
    </row>
    <row r="38" spans="1:7" x14ac:dyDescent="0.35">
      <c r="A38" s="3" t="s">
        <v>63</v>
      </c>
      <c r="B38" s="3" t="s">
        <v>64</v>
      </c>
      <c r="C38" s="3" t="s">
        <v>881</v>
      </c>
      <c r="D38" s="3" t="s">
        <v>64</v>
      </c>
      <c r="E38" s="3" t="s">
        <v>1183</v>
      </c>
      <c r="F38" s="3" t="s">
        <v>1183</v>
      </c>
      <c r="G38" s="3" t="s">
        <v>1183</v>
      </c>
    </row>
    <row r="39" spans="1:7" x14ac:dyDescent="0.35">
      <c r="A39" s="3" t="s">
        <v>65</v>
      </c>
      <c r="B39" s="3" t="s">
        <v>66</v>
      </c>
      <c r="C39" s="3" t="s">
        <v>881</v>
      </c>
      <c r="D39" s="3" t="s">
        <v>66</v>
      </c>
      <c r="E39" s="3" t="s">
        <v>1183</v>
      </c>
      <c r="F39" s="3" t="s">
        <v>1183</v>
      </c>
      <c r="G39" s="3" t="s">
        <v>1183</v>
      </c>
    </row>
    <row r="40" spans="1:7" x14ac:dyDescent="0.35">
      <c r="A40" s="3" t="s">
        <v>67</v>
      </c>
      <c r="B40" s="3" t="s">
        <v>68</v>
      </c>
      <c r="C40" s="3" t="s">
        <v>881</v>
      </c>
      <c r="D40" s="3" t="s">
        <v>68</v>
      </c>
      <c r="E40" s="3" t="s">
        <v>1183</v>
      </c>
      <c r="F40" s="3" t="s">
        <v>1183</v>
      </c>
      <c r="G40" s="3" t="s">
        <v>1183</v>
      </c>
    </row>
    <row r="41" spans="1:7" x14ac:dyDescent="0.35">
      <c r="A41" s="3" t="s">
        <v>69</v>
      </c>
      <c r="B41" s="3" t="s">
        <v>1194</v>
      </c>
      <c r="C41" s="3" t="s">
        <v>881</v>
      </c>
      <c r="D41" s="3" t="s">
        <v>887</v>
      </c>
      <c r="E41" s="3" t="s">
        <v>1185</v>
      </c>
      <c r="F41" s="3" t="s">
        <v>1183</v>
      </c>
      <c r="G41" s="3" t="s">
        <v>1183</v>
      </c>
    </row>
    <row r="42" spans="1:7" x14ac:dyDescent="0.35">
      <c r="A42" s="3" t="s">
        <v>71</v>
      </c>
      <c r="B42" s="3" t="s">
        <v>72</v>
      </c>
      <c r="C42" s="3" t="s">
        <v>881</v>
      </c>
      <c r="D42" s="3" t="s">
        <v>72</v>
      </c>
      <c r="E42" s="3" t="s">
        <v>1183</v>
      </c>
      <c r="F42" s="3" t="s">
        <v>1183</v>
      </c>
      <c r="G42" s="3" t="s">
        <v>1183</v>
      </c>
    </row>
    <row r="43" spans="1:7" x14ac:dyDescent="0.35">
      <c r="A43" s="3" t="s">
        <v>73</v>
      </c>
      <c r="B43" s="3" t="s">
        <v>1195</v>
      </c>
      <c r="C43" s="3" t="s">
        <v>881</v>
      </c>
      <c r="D43" s="3" t="s">
        <v>888</v>
      </c>
      <c r="E43" s="3" t="s">
        <v>1185</v>
      </c>
      <c r="F43" s="3" t="s">
        <v>1183</v>
      </c>
      <c r="G43" s="3" t="s">
        <v>1183</v>
      </c>
    </row>
    <row r="44" spans="1:7" x14ac:dyDescent="0.35">
      <c r="A44" s="3" t="s">
        <v>75</v>
      </c>
      <c r="B44" s="3" t="s">
        <v>1196</v>
      </c>
      <c r="C44" s="3" t="s">
        <v>881</v>
      </c>
      <c r="D44" s="3" t="s">
        <v>888</v>
      </c>
      <c r="E44" s="3" t="s">
        <v>1185</v>
      </c>
      <c r="F44" s="3" t="s">
        <v>1183</v>
      </c>
      <c r="G44" s="3" t="s">
        <v>1183</v>
      </c>
    </row>
    <row r="45" spans="1:7" x14ac:dyDescent="0.35">
      <c r="A45" s="3" t="s">
        <v>948</v>
      </c>
      <c r="B45" s="3" t="s">
        <v>949</v>
      </c>
      <c r="C45" s="3" t="s">
        <v>881</v>
      </c>
      <c r="D45" s="3" t="s">
        <v>949</v>
      </c>
      <c r="E45" s="3" t="s">
        <v>1183</v>
      </c>
      <c r="F45" s="3" t="s">
        <v>1183</v>
      </c>
      <c r="G45" s="3" t="s">
        <v>1183</v>
      </c>
    </row>
    <row r="46" spans="1:7" x14ac:dyDescent="0.35">
      <c r="A46" s="3" t="s">
        <v>77</v>
      </c>
      <c r="B46" s="3" t="s">
        <v>78</v>
      </c>
      <c r="C46" s="3" t="s">
        <v>881</v>
      </c>
      <c r="D46" s="3" t="s">
        <v>889</v>
      </c>
      <c r="E46" s="3" t="s">
        <v>1183</v>
      </c>
      <c r="F46" s="3" t="s">
        <v>1183</v>
      </c>
      <c r="G46" s="3" t="s">
        <v>1183</v>
      </c>
    </row>
    <row r="47" spans="1:7" x14ac:dyDescent="0.35">
      <c r="A47" s="3" t="s">
        <v>79</v>
      </c>
      <c r="B47" s="3" t="s">
        <v>80</v>
      </c>
      <c r="C47" s="3" t="s">
        <v>881</v>
      </c>
      <c r="D47" s="3" t="s">
        <v>889</v>
      </c>
      <c r="E47" s="3" t="s">
        <v>1183</v>
      </c>
      <c r="F47" s="3" t="s">
        <v>1183</v>
      </c>
      <c r="G47" s="3" t="s">
        <v>1183</v>
      </c>
    </row>
    <row r="48" spans="1:7" x14ac:dyDescent="0.35">
      <c r="A48" s="3" t="s">
        <v>81</v>
      </c>
      <c r="B48" s="3" t="s">
        <v>889</v>
      </c>
      <c r="C48" s="3" t="s">
        <v>881</v>
      </c>
      <c r="D48" s="3" t="s">
        <v>889</v>
      </c>
      <c r="E48" s="3" t="s">
        <v>1183</v>
      </c>
      <c r="F48" s="3" t="s">
        <v>1183</v>
      </c>
      <c r="G48" s="3" t="s">
        <v>1183</v>
      </c>
    </row>
    <row r="49" spans="1:7" x14ac:dyDescent="0.35">
      <c r="A49" s="3" t="s">
        <v>85</v>
      </c>
      <c r="B49" s="3" t="s">
        <v>86</v>
      </c>
      <c r="C49" s="3" t="s">
        <v>881</v>
      </c>
      <c r="D49" s="3" t="s">
        <v>890</v>
      </c>
      <c r="E49" s="3" t="s">
        <v>1183</v>
      </c>
      <c r="F49" s="3" t="s">
        <v>1183</v>
      </c>
      <c r="G49" s="3" t="s">
        <v>1183</v>
      </c>
    </row>
    <row r="50" spans="1:7" x14ac:dyDescent="0.35">
      <c r="A50" s="3" t="s">
        <v>87</v>
      </c>
      <c r="B50" s="3" t="s">
        <v>88</v>
      </c>
      <c r="C50" s="3" t="s">
        <v>881</v>
      </c>
      <c r="D50" s="3" t="s">
        <v>890</v>
      </c>
      <c r="E50" s="3" t="s">
        <v>1183</v>
      </c>
      <c r="F50" s="3" t="s">
        <v>1183</v>
      </c>
      <c r="G50" s="3" t="s">
        <v>1183</v>
      </c>
    </row>
    <row r="51" spans="1:7" x14ac:dyDescent="0.35">
      <c r="A51" s="3" t="s">
        <v>89</v>
      </c>
      <c r="B51" s="3" t="s">
        <v>90</v>
      </c>
      <c r="C51" s="3" t="s">
        <v>881</v>
      </c>
      <c r="D51" s="3" t="s">
        <v>890</v>
      </c>
      <c r="E51" s="3" t="s">
        <v>1183</v>
      </c>
      <c r="F51" s="3" t="s">
        <v>1183</v>
      </c>
      <c r="G51" s="3" t="s">
        <v>1183</v>
      </c>
    </row>
    <row r="52" spans="1:7" x14ac:dyDescent="0.35">
      <c r="A52" s="3" t="s">
        <v>91</v>
      </c>
      <c r="B52" s="3" t="s">
        <v>1197</v>
      </c>
      <c r="C52" s="3" t="s">
        <v>881</v>
      </c>
      <c r="D52" s="3" t="s">
        <v>890</v>
      </c>
      <c r="E52" s="3" t="s">
        <v>1185</v>
      </c>
      <c r="F52" s="3" t="s">
        <v>1183</v>
      </c>
      <c r="G52" s="3" t="s">
        <v>1185</v>
      </c>
    </row>
    <row r="53" spans="1:7" x14ac:dyDescent="0.35">
      <c r="A53" s="3" t="s">
        <v>93</v>
      </c>
      <c r="B53" s="3" t="s">
        <v>94</v>
      </c>
      <c r="C53" s="3" t="s">
        <v>881</v>
      </c>
      <c r="D53" s="3" t="s">
        <v>890</v>
      </c>
      <c r="E53" s="3" t="s">
        <v>1185</v>
      </c>
      <c r="F53" s="3" t="s">
        <v>1183</v>
      </c>
      <c r="G53" s="3" t="s">
        <v>1185</v>
      </c>
    </row>
    <row r="54" spans="1:7" x14ac:dyDescent="0.35">
      <c r="A54" s="3" t="s">
        <v>95</v>
      </c>
      <c r="B54" s="3" t="s">
        <v>96</v>
      </c>
      <c r="C54" s="3" t="s">
        <v>881</v>
      </c>
      <c r="D54" s="3" t="s">
        <v>890</v>
      </c>
      <c r="E54" s="3" t="s">
        <v>1183</v>
      </c>
      <c r="F54" s="3" t="s">
        <v>1183</v>
      </c>
      <c r="G54" s="3" t="s">
        <v>1183</v>
      </c>
    </row>
    <row r="55" spans="1:7" x14ac:dyDescent="0.35">
      <c r="A55" s="3" t="s">
        <v>951</v>
      </c>
      <c r="B55" s="3" t="s">
        <v>952</v>
      </c>
      <c r="C55" s="3" t="s">
        <v>881</v>
      </c>
      <c r="D55" s="3" t="s">
        <v>890</v>
      </c>
      <c r="E55" s="3" t="s">
        <v>1183</v>
      </c>
      <c r="F55" s="3" t="s">
        <v>1183</v>
      </c>
      <c r="G55" s="3" t="s">
        <v>1183</v>
      </c>
    </row>
    <row r="56" spans="1:7" x14ac:dyDescent="0.35">
      <c r="A56" s="3" t="s">
        <v>97</v>
      </c>
      <c r="B56" s="3" t="s">
        <v>98</v>
      </c>
      <c r="C56" s="3" t="s">
        <v>881</v>
      </c>
      <c r="D56" s="3" t="s">
        <v>98</v>
      </c>
      <c r="E56" s="3" t="s">
        <v>1185</v>
      </c>
      <c r="F56" s="3" t="s">
        <v>1183</v>
      </c>
      <c r="G56" s="3" t="s">
        <v>1183</v>
      </c>
    </row>
    <row r="57" spans="1:7" x14ac:dyDescent="0.35">
      <c r="A57" s="3" t="s">
        <v>99</v>
      </c>
      <c r="B57" s="3" t="s">
        <v>100</v>
      </c>
      <c r="C57" s="3" t="s">
        <v>881</v>
      </c>
      <c r="D57" s="3" t="s">
        <v>889</v>
      </c>
      <c r="E57" s="3" t="s">
        <v>1185</v>
      </c>
      <c r="F57" s="3" t="s">
        <v>1183</v>
      </c>
      <c r="G57" s="3" t="s">
        <v>1183</v>
      </c>
    </row>
    <row r="58" spans="1:7" x14ac:dyDescent="0.35">
      <c r="A58" s="3" t="s">
        <v>101</v>
      </c>
      <c r="B58" s="3" t="s">
        <v>1198</v>
      </c>
      <c r="C58" s="3" t="s">
        <v>881</v>
      </c>
      <c r="D58" s="3" t="s">
        <v>889</v>
      </c>
      <c r="E58" s="3" t="s">
        <v>1185</v>
      </c>
      <c r="F58" s="3" t="s">
        <v>1183</v>
      </c>
      <c r="G58" s="3" t="s">
        <v>1185</v>
      </c>
    </row>
    <row r="59" spans="1:7" x14ac:dyDescent="0.35">
      <c r="A59" s="3" t="s">
        <v>105</v>
      </c>
      <c r="B59" s="3" t="s">
        <v>106</v>
      </c>
      <c r="C59" s="3" t="s">
        <v>881</v>
      </c>
      <c r="D59" s="3" t="s">
        <v>98</v>
      </c>
      <c r="E59" s="3" t="s">
        <v>1185</v>
      </c>
      <c r="F59" s="3" t="s">
        <v>1183</v>
      </c>
      <c r="G59" s="3" t="s">
        <v>1183</v>
      </c>
    </row>
    <row r="60" spans="1:7" x14ac:dyDescent="0.35">
      <c r="A60" s="3" t="s">
        <v>109</v>
      </c>
      <c r="B60" s="3" t="s">
        <v>1199</v>
      </c>
      <c r="C60" s="3" t="s">
        <v>881</v>
      </c>
      <c r="D60" s="3" t="s">
        <v>889</v>
      </c>
      <c r="E60" s="3" t="s">
        <v>1185</v>
      </c>
      <c r="F60" s="3" t="s">
        <v>1183</v>
      </c>
      <c r="G60" s="3" t="s">
        <v>1185</v>
      </c>
    </row>
    <row r="61" spans="1:7" x14ac:dyDescent="0.35">
      <c r="A61" s="3" t="s">
        <v>111</v>
      </c>
      <c r="B61" s="3" t="s">
        <v>1200</v>
      </c>
      <c r="C61" s="3" t="s">
        <v>881</v>
      </c>
      <c r="D61" s="3" t="s">
        <v>889</v>
      </c>
      <c r="E61" s="3" t="s">
        <v>1185</v>
      </c>
      <c r="F61" s="3" t="s">
        <v>1183</v>
      </c>
      <c r="G61" s="3" t="s">
        <v>1185</v>
      </c>
    </row>
    <row r="62" spans="1:7" x14ac:dyDescent="0.35">
      <c r="A62" s="3" t="s">
        <v>112</v>
      </c>
      <c r="B62" s="3" t="s">
        <v>113</v>
      </c>
      <c r="C62" s="3" t="s">
        <v>881</v>
      </c>
      <c r="D62" s="3" t="s">
        <v>98</v>
      </c>
      <c r="E62" s="3" t="s">
        <v>1185</v>
      </c>
      <c r="F62" s="3" t="s">
        <v>1183</v>
      </c>
      <c r="G62" s="3" t="s">
        <v>1183</v>
      </c>
    </row>
    <row r="63" spans="1:7" x14ac:dyDescent="0.35">
      <c r="A63" s="3" t="s">
        <v>114</v>
      </c>
      <c r="B63" s="3" t="s">
        <v>953</v>
      </c>
      <c r="C63" s="3" t="s">
        <v>881</v>
      </c>
      <c r="D63" s="3" t="s">
        <v>98</v>
      </c>
      <c r="E63" s="3" t="s">
        <v>1183</v>
      </c>
      <c r="F63" s="3" t="s">
        <v>1183</v>
      </c>
      <c r="G63" s="3" t="s">
        <v>1183</v>
      </c>
    </row>
    <row r="64" spans="1:7" x14ac:dyDescent="0.35">
      <c r="A64" s="3" t="s">
        <v>134</v>
      </c>
      <c r="B64" s="3" t="s">
        <v>135</v>
      </c>
      <c r="C64" s="3" t="s">
        <v>881</v>
      </c>
      <c r="D64" s="3" t="s">
        <v>889</v>
      </c>
      <c r="E64" s="3" t="s">
        <v>1183</v>
      </c>
      <c r="F64" s="3" t="s">
        <v>1183</v>
      </c>
      <c r="G64" s="3" t="s">
        <v>1183</v>
      </c>
    </row>
    <row r="65" spans="1:7" x14ac:dyDescent="0.35">
      <c r="A65" s="3" t="s">
        <v>136</v>
      </c>
      <c r="B65" s="3" t="s">
        <v>137</v>
      </c>
      <c r="C65" s="3" t="s">
        <v>881</v>
      </c>
      <c r="D65" s="3" t="s">
        <v>889</v>
      </c>
      <c r="E65" s="3" t="s">
        <v>1185</v>
      </c>
      <c r="F65" s="3" t="s">
        <v>1183</v>
      </c>
      <c r="G65" s="3" t="s">
        <v>1183</v>
      </c>
    </row>
    <row r="66" spans="1:7" x14ac:dyDescent="0.35">
      <c r="A66" s="3" t="s">
        <v>138</v>
      </c>
      <c r="B66" s="3" t="s">
        <v>954</v>
      </c>
      <c r="C66" s="3" t="s">
        <v>881</v>
      </c>
      <c r="D66" s="3" t="s">
        <v>889</v>
      </c>
      <c r="E66" s="3" t="s">
        <v>1185</v>
      </c>
      <c r="F66" s="3" t="s">
        <v>1183</v>
      </c>
      <c r="G66" s="3" t="s">
        <v>1183</v>
      </c>
    </row>
    <row r="67" spans="1:7" x14ac:dyDescent="0.35">
      <c r="A67" s="3" t="s">
        <v>140</v>
      </c>
      <c r="B67" s="3" t="s">
        <v>141</v>
      </c>
      <c r="C67" s="3" t="s">
        <v>881</v>
      </c>
      <c r="D67" s="3" t="s">
        <v>889</v>
      </c>
      <c r="E67" s="3" t="s">
        <v>1183</v>
      </c>
      <c r="F67" s="3" t="s">
        <v>1183</v>
      </c>
      <c r="G67" s="3" t="s">
        <v>1183</v>
      </c>
    </row>
    <row r="68" spans="1:7" x14ac:dyDescent="0.35">
      <c r="A68" s="3" t="s">
        <v>142</v>
      </c>
      <c r="B68" s="3" t="s">
        <v>1201</v>
      </c>
      <c r="C68" s="3" t="s">
        <v>881</v>
      </c>
      <c r="D68" s="3" t="s">
        <v>889</v>
      </c>
      <c r="E68" s="3" t="s">
        <v>1185</v>
      </c>
      <c r="F68" s="3" t="s">
        <v>1183</v>
      </c>
      <c r="G68" s="3" t="s">
        <v>1185</v>
      </c>
    </row>
    <row r="69" spans="1:7" x14ac:dyDescent="0.35">
      <c r="A69" s="3" t="s">
        <v>144</v>
      </c>
      <c r="B69" s="3" t="s">
        <v>1202</v>
      </c>
      <c r="C69" s="3" t="s">
        <v>881</v>
      </c>
      <c r="D69" s="3" t="s">
        <v>889</v>
      </c>
      <c r="E69" s="3" t="s">
        <v>1185</v>
      </c>
      <c r="F69" s="3" t="s">
        <v>1183</v>
      </c>
      <c r="G69" s="3" t="s">
        <v>1185</v>
      </c>
    </row>
    <row r="70" spans="1:7" x14ac:dyDescent="0.35">
      <c r="A70" s="3" t="s">
        <v>145</v>
      </c>
      <c r="B70" s="3" t="s">
        <v>1203</v>
      </c>
      <c r="C70" s="3" t="s">
        <v>881</v>
      </c>
      <c r="D70" s="3" t="s">
        <v>889</v>
      </c>
      <c r="E70" s="3" t="s">
        <v>1185</v>
      </c>
      <c r="F70" s="3" t="s">
        <v>1183</v>
      </c>
      <c r="G70" s="3" t="s">
        <v>1185</v>
      </c>
    </row>
    <row r="71" spans="1:7" x14ac:dyDescent="0.35">
      <c r="A71" s="3" t="s">
        <v>146</v>
      </c>
      <c r="B71" s="3" t="s">
        <v>1204</v>
      </c>
      <c r="C71" s="3" t="s">
        <v>881</v>
      </c>
      <c r="D71" s="3" t="s">
        <v>889</v>
      </c>
      <c r="E71" s="3" t="s">
        <v>1185</v>
      </c>
      <c r="F71" s="3" t="s">
        <v>1183</v>
      </c>
      <c r="G71" s="3" t="s">
        <v>1185</v>
      </c>
    </row>
    <row r="72" spans="1:7" x14ac:dyDescent="0.35">
      <c r="A72" s="3" t="s">
        <v>147</v>
      </c>
      <c r="B72" s="3" t="s">
        <v>1205</v>
      </c>
      <c r="C72" s="3" t="s">
        <v>881</v>
      </c>
      <c r="D72" s="3" t="s">
        <v>98</v>
      </c>
      <c r="E72" s="3" t="s">
        <v>1185</v>
      </c>
      <c r="F72" s="3" t="s">
        <v>1183</v>
      </c>
      <c r="G72" s="3" t="s">
        <v>1183</v>
      </c>
    </row>
    <row r="73" spans="1:7" x14ac:dyDescent="0.35">
      <c r="A73" s="3" t="s">
        <v>149</v>
      </c>
      <c r="B73" s="3" t="s">
        <v>150</v>
      </c>
      <c r="C73" s="3" t="s">
        <v>881</v>
      </c>
      <c r="D73" s="3" t="s">
        <v>98</v>
      </c>
      <c r="E73" s="3" t="s">
        <v>1185</v>
      </c>
      <c r="F73" s="3" t="s">
        <v>1183</v>
      </c>
      <c r="G73" s="3" t="s">
        <v>1183</v>
      </c>
    </row>
    <row r="74" spans="1:7" x14ac:dyDescent="0.35">
      <c r="A74" s="3" t="s">
        <v>955</v>
      </c>
      <c r="B74" s="3" t="s">
        <v>956</v>
      </c>
      <c r="C74" s="3" t="s">
        <v>881</v>
      </c>
      <c r="D74" s="3" t="s">
        <v>889</v>
      </c>
      <c r="E74" s="3" t="s">
        <v>1183</v>
      </c>
      <c r="F74" s="3" t="s">
        <v>1183</v>
      </c>
      <c r="G74" s="3" t="s">
        <v>1183</v>
      </c>
    </row>
    <row r="75" spans="1:7" x14ac:dyDescent="0.35">
      <c r="A75" s="3" t="s">
        <v>957</v>
      </c>
      <c r="B75" s="3" t="s">
        <v>958</v>
      </c>
      <c r="C75" s="3" t="s">
        <v>881</v>
      </c>
      <c r="D75" s="3" t="s">
        <v>889</v>
      </c>
      <c r="E75" s="3" t="s">
        <v>1183</v>
      </c>
      <c r="F75" s="3" t="s">
        <v>1183</v>
      </c>
      <c r="G75" s="3" t="s">
        <v>1183</v>
      </c>
    </row>
    <row r="76" spans="1:7" x14ac:dyDescent="0.35">
      <c r="A76" s="3" t="s">
        <v>959</v>
      </c>
      <c r="B76" s="3" t="s">
        <v>286</v>
      </c>
      <c r="C76" s="3" t="s">
        <v>881</v>
      </c>
      <c r="D76" s="3" t="s">
        <v>889</v>
      </c>
      <c r="E76" s="3" t="s">
        <v>1183</v>
      </c>
      <c r="F76" s="3" t="s">
        <v>1183</v>
      </c>
      <c r="G76" s="3" t="s">
        <v>1183</v>
      </c>
    </row>
    <row r="77" spans="1:7" x14ac:dyDescent="0.35">
      <c r="A77" s="3" t="s">
        <v>151</v>
      </c>
      <c r="B77" s="3" t="s">
        <v>152</v>
      </c>
      <c r="C77" s="3" t="s">
        <v>881</v>
      </c>
      <c r="D77" s="3" t="s">
        <v>889</v>
      </c>
      <c r="E77" s="3" t="s">
        <v>1183</v>
      </c>
      <c r="F77" s="3" t="s">
        <v>1183</v>
      </c>
      <c r="G77" s="3" t="s">
        <v>1183</v>
      </c>
    </row>
    <row r="78" spans="1:7" x14ac:dyDescent="0.35">
      <c r="A78" s="3" t="s">
        <v>153</v>
      </c>
      <c r="B78" s="3" t="s">
        <v>154</v>
      </c>
      <c r="C78" s="3" t="s">
        <v>881</v>
      </c>
      <c r="D78" s="3" t="s">
        <v>889</v>
      </c>
      <c r="E78" s="3" t="s">
        <v>1185</v>
      </c>
      <c r="F78" s="3" t="s">
        <v>1183</v>
      </c>
      <c r="G78" s="3" t="s">
        <v>1183</v>
      </c>
    </row>
    <row r="79" spans="1:7" x14ac:dyDescent="0.35">
      <c r="A79" s="3" t="s">
        <v>155</v>
      </c>
      <c r="B79" s="3" t="s">
        <v>156</v>
      </c>
      <c r="C79" s="3" t="s">
        <v>881</v>
      </c>
      <c r="D79" s="3" t="s">
        <v>889</v>
      </c>
      <c r="E79" s="3" t="s">
        <v>1185</v>
      </c>
      <c r="F79" s="3" t="s">
        <v>1183</v>
      </c>
      <c r="G79" s="3" t="s">
        <v>1183</v>
      </c>
    </row>
    <row r="80" spans="1:7" x14ac:dyDescent="0.35">
      <c r="A80" s="3" t="s">
        <v>157</v>
      </c>
      <c r="B80" s="3" t="s">
        <v>158</v>
      </c>
      <c r="C80" s="3" t="s">
        <v>881</v>
      </c>
      <c r="D80" s="3" t="s">
        <v>889</v>
      </c>
      <c r="E80" s="3" t="s">
        <v>1185</v>
      </c>
      <c r="F80" s="3" t="s">
        <v>1183</v>
      </c>
      <c r="G80" s="3" t="s">
        <v>1185</v>
      </c>
    </row>
    <row r="81" spans="1:7" x14ac:dyDescent="0.35">
      <c r="A81" s="3" t="s">
        <v>159</v>
      </c>
      <c r="B81" s="3" t="s">
        <v>160</v>
      </c>
      <c r="C81" s="3" t="s">
        <v>881</v>
      </c>
      <c r="D81" s="3" t="s">
        <v>889</v>
      </c>
      <c r="E81" s="3" t="s">
        <v>1185</v>
      </c>
      <c r="F81" s="3" t="s">
        <v>1183</v>
      </c>
      <c r="G81" s="3" t="s">
        <v>1183</v>
      </c>
    </row>
    <row r="82" spans="1:7" x14ac:dyDescent="0.35">
      <c r="A82" s="3" t="s">
        <v>161</v>
      </c>
      <c r="B82" s="3" t="s">
        <v>162</v>
      </c>
      <c r="C82" s="3" t="s">
        <v>881</v>
      </c>
      <c r="D82" s="3" t="s">
        <v>889</v>
      </c>
      <c r="E82" s="3" t="s">
        <v>1185</v>
      </c>
      <c r="F82" s="3" t="s">
        <v>1183</v>
      </c>
      <c r="G82" s="3" t="s">
        <v>1185</v>
      </c>
    </row>
    <row r="83" spans="1:7" x14ac:dyDescent="0.35">
      <c r="A83" s="3" t="s">
        <v>163</v>
      </c>
      <c r="B83" s="3" t="s">
        <v>164</v>
      </c>
      <c r="C83" s="3" t="s">
        <v>881</v>
      </c>
      <c r="D83" s="3" t="s">
        <v>889</v>
      </c>
      <c r="E83" s="3" t="s">
        <v>1185</v>
      </c>
      <c r="F83" s="3" t="s">
        <v>1183</v>
      </c>
      <c r="G83" s="3" t="s">
        <v>1183</v>
      </c>
    </row>
    <row r="84" spans="1:7" x14ac:dyDescent="0.35">
      <c r="A84" s="3" t="s">
        <v>165</v>
      </c>
      <c r="B84" s="3" t="s">
        <v>166</v>
      </c>
      <c r="C84" s="3" t="s">
        <v>881</v>
      </c>
      <c r="D84" s="3" t="s">
        <v>166</v>
      </c>
      <c r="E84" s="3" t="s">
        <v>1183</v>
      </c>
      <c r="F84" s="3" t="s">
        <v>1183</v>
      </c>
      <c r="G84" s="3" t="s">
        <v>1183</v>
      </c>
    </row>
    <row r="85" spans="1:7" x14ac:dyDescent="0.35">
      <c r="A85" s="3" t="s">
        <v>167</v>
      </c>
      <c r="B85" s="3" t="s">
        <v>168</v>
      </c>
      <c r="C85" s="3" t="s">
        <v>881</v>
      </c>
      <c r="D85" s="3" t="s">
        <v>168</v>
      </c>
      <c r="E85" s="3" t="s">
        <v>1185</v>
      </c>
      <c r="F85" s="3" t="s">
        <v>1183</v>
      </c>
      <c r="G85" s="3" t="s">
        <v>1183</v>
      </c>
    </row>
    <row r="86" spans="1:7" x14ac:dyDescent="0.35">
      <c r="A86" s="3" t="s">
        <v>169</v>
      </c>
      <c r="B86" s="3" t="s">
        <v>170</v>
      </c>
      <c r="C86" s="3" t="s">
        <v>881</v>
      </c>
      <c r="D86" s="3" t="s">
        <v>891</v>
      </c>
      <c r="E86" s="3" t="s">
        <v>1185</v>
      </c>
      <c r="F86" s="3" t="s">
        <v>1183</v>
      </c>
      <c r="G86" s="3" t="s">
        <v>1183</v>
      </c>
    </row>
    <row r="87" spans="1:7" x14ac:dyDescent="0.35">
      <c r="A87" s="3" t="s">
        <v>171</v>
      </c>
      <c r="B87" s="3" t="s">
        <v>172</v>
      </c>
      <c r="C87" s="3" t="s">
        <v>881</v>
      </c>
      <c r="D87" s="3" t="s">
        <v>892</v>
      </c>
      <c r="E87" s="3" t="s">
        <v>1183</v>
      </c>
      <c r="F87" s="3" t="s">
        <v>1183</v>
      </c>
      <c r="G87" s="3" t="s">
        <v>1183</v>
      </c>
    </row>
    <row r="88" spans="1:7" x14ac:dyDescent="0.35">
      <c r="A88" s="3" t="s">
        <v>960</v>
      </c>
      <c r="B88" s="3" t="s">
        <v>961</v>
      </c>
      <c r="C88" s="3" t="s">
        <v>881</v>
      </c>
      <c r="D88" s="3" t="s">
        <v>962</v>
      </c>
      <c r="E88" s="3" t="s">
        <v>1183</v>
      </c>
      <c r="F88" s="3" t="s">
        <v>1183</v>
      </c>
      <c r="G88" s="3" t="s">
        <v>1183</v>
      </c>
    </row>
    <row r="89" spans="1:7" x14ac:dyDescent="0.35">
      <c r="A89" s="3" t="s">
        <v>963</v>
      </c>
      <c r="B89" s="3" t="s">
        <v>964</v>
      </c>
      <c r="C89" s="3" t="s">
        <v>881</v>
      </c>
      <c r="D89" s="3" t="s">
        <v>892</v>
      </c>
      <c r="E89" s="3" t="s">
        <v>1183</v>
      </c>
      <c r="F89" s="3" t="s">
        <v>1183</v>
      </c>
      <c r="G89" s="3" t="s">
        <v>1183</v>
      </c>
    </row>
    <row r="90" spans="1:7" x14ac:dyDescent="0.35">
      <c r="A90" s="3" t="s">
        <v>965</v>
      </c>
      <c r="B90" s="3" t="s">
        <v>966</v>
      </c>
      <c r="C90" s="3" t="s">
        <v>881</v>
      </c>
      <c r="D90" s="3" t="s">
        <v>962</v>
      </c>
      <c r="E90" s="3" t="s">
        <v>1183</v>
      </c>
      <c r="F90" s="3" t="s">
        <v>1183</v>
      </c>
      <c r="G90" s="3" t="s">
        <v>1183</v>
      </c>
    </row>
    <row r="91" spans="1:7" x14ac:dyDescent="0.35">
      <c r="A91" s="3" t="s">
        <v>967</v>
      </c>
      <c r="B91" s="3" t="s">
        <v>968</v>
      </c>
      <c r="C91" s="3" t="s">
        <v>881</v>
      </c>
      <c r="D91" s="3" t="s">
        <v>892</v>
      </c>
      <c r="E91" s="3" t="s">
        <v>1183</v>
      </c>
      <c r="F91" s="3" t="s">
        <v>1183</v>
      </c>
      <c r="G91" s="3" t="s">
        <v>1183</v>
      </c>
    </row>
    <row r="92" spans="1:7" x14ac:dyDescent="0.35">
      <c r="A92" s="3" t="s">
        <v>173</v>
      </c>
      <c r="B92" s="3" t="s">
        <v>174</v>
      </c>
      <c r="C92" s="3" t="s">
        <v>881</v>
      </c>
      <c r="D92" s="3" t="s">
        <v>174</v>
      </c>
      <c r="E92" s="3" t="s">
        <v>1183</v>
      </c>
      <c r="F92" s="3" t="s">
        <v>1183</v>
      </c>
      <c r="G92" s="3" t="s">
        <v>1183</v>
      </c>
    </row>
    <row r="93" spans="1:7" x14ac:dyDescent="0.35">
      <c r="A93" s="3" t="s">
        <v>969</v>
      </c>
      <c r="B93" s="3" t="s">
        <v>892</v>
      </c>
      <c r="C93" s="3" t="s">
        <v>881</v>
      </c>
      <c r="D93" s="3" t="s">
        <v>892</v>
      </c>
      <c r="E93" s="3" t="s">
        <v>1183</v>
      </c>
      <c r="F93" s="3" t="s">
        <v>1183</v>
      </c>
      <c r="G93" s="3" t="s">
        <v>1183</v>
      </c>
    </row>
    <row r="94" spans="1:7" x14ac:dyDescent="0.35">
      <c r="A94" s="3" t="s">
        <v>175</v>
      </c>
      <c r="B94" s="3" t="s">
        <v>1206</v>
      </c>
      <c r="C94" s="3" t="s">
        <v>881</v>
      </c>
      <c r="D94" s="3" t="s">
        <v>893</v>
      </c>
      <c r="E94" s="3" t="s">
        <v>1185</v>
      </c>
      <c r="F94" s="3" t="s">
        <v>1183</v>
      </c>
      <c r="G94" s="3" t="s">
        <v>1183</v>
      </c>
    </row>
    <row r="95" spans="1:7" x14ac:dyDescent="0.35">
      <c r="A95" s="3" t="s">
        <v>177</v>
      </c>
      <c r="B95" s="3" t="s">
        <v>1207</v>
      </c>
      <c r="C95" s="3" t="s">
        <v>881</v>
      </c>
      <c r="D95" s="3" t="s">
        <v>893</v>
      </c>
      <c r="E95" s="3" t="s">
        <v>1185</v>
      </c>
      <c r="F95" s="3" t="s">
        <v>1183</v>
      </c>
      <c r="G95" s="3" t="s">
        <v>1183</v>
      </c>
    </row>
    <row r="96" spans="1:7" x14ac:dyDescent="0.35">
      <c r="A96" s="3" t="s">
        <v>179</v>
      </c>
      <c r="B96" s="3" t="s">
        <v>1208</v>
      </c>
      <c r="C96" s="3" t="s">
        <v>881</v>
      </c>
      <c r="D96" s="3" t="s">
        <v>893</v>
      </c>
      <c r="E96" s="3" t="s">
        <v>1185</v>
      </c>
      <c r="F96" s="3" t="s">
        <v>1183</v>
      </c>
      <c r="G96" s="3" t="s">
        <v>1183</v>
      </c>
    </row>
    <row r="97" spans="1:7" x14ac:dyDescent="0.35">
      <c r="A97" s="3" t="s">
        <v>181</v>
      </c>
      <c r="B97" s="3" t="s">
        <v>1209</v>
      </c>
      <c r="C97" s="3" t="s">
        <v>881</v>
      </c>
      <c r="D97" s="3" t="s">
        <v>893</v>
      </c>
      <c r="E97" s="3" t="s">
        <v>1185</v>
      </c>
      <c r="F97" s="3" t="s">
        <v>1183</v>
      </c>
      <c r="G97" s="3" t="s">
        <v>1183</v>
      </c>
    </row>
    <row r="98" spans="1:7" x14ac:dyDescent="0.35">
      <c r="A98" s="3" t="s">
        <v>183</v>
      </c>
      <c r="B98" s="3" t="s">
        <v>1210</v>
      </c>
      <c r="C98" s="3" t="s">
        <v>881</v>
      </c>
      <c r="D98" s="3" t="s">
        <v>893</v>
      </c>
      <c r="E98" s="3" t="s">
        <v>1185</v>
      </c>
      <c r="F98" s="3" t="s">
        <v>1183</v>
      </c>
      <c r="G98" s="3" t="s">
        <v>1183</v>
      </c>
    </row>
    <row r="99" spans="1:7" x14ac:dyDescent="0.35">
      <c r="A99" s="3" t="s">
        <v>187</v>
      </c>
      <c r="B99" s="3" t="s">
        <v>1211</v>
      </c>
      <c r="C99" s="3" t="s">
        <v>881</v>
      </c>
      <c r="D99" s="3" t="s">
        <v>893</v>
      </c>
      <c r="E99" s="3" t="s">
        <v>1185</v>
      </c>
      <c r="F99" s="3" t="s">
        <v>1183</v>
      </c>
      <c r="G99" s="3" t="s">
        <v>1183</v>
      </c>
    </row>
    <row r="100" spans="1:7" x14ac:dyDescent="0.35">
      <c r="A100" s="3" t="s">
        <v>1212</v>
      </c>
      <c r="B100" s="3" t="s">
        <v>1213</v>
      </c>
      <c r="C100" s="3" t="s">
        <v>881</v>
      </c>
      <c r="D100" s="3" t="s">
        <v>893</v>
      </c>
      <c r="E100" s="3" t="s">
        <v>1185</v>
      </c>
      <c r="F100" s="3" t="s">
        <v>1183</v>
      </c>
      <c r="G100" s="3" t="s">
        <v>1183</v>
      </c>
    </row>
    <row r="101" spans="1:7" x14ac:dyDescent="0.35">
      <c r="A101" s="3" t="s">
        <v>189</v>
      </c>
      <c r="B101" s="3" t="s">
        <v>1214</v>
      </c>
      <c r="C101" s="3" t="s">
        <v>881</v>
      </c>
      <c r="D101" s="3" t="s">
        <v>893</v>
      </c>
      <c r="E101" s="3" t="s">
        <v>1185</v>
      </c>
      <c r="F101" s="3" t="s">
        <v>1183</v>
      </c>
      <c r="G101" s="3" t="s">
        <v>1183</v>
      </c>
    </row>
    <row r="102" spans="1:7" x14ac:dyDescent="0.35">
      <c r="A102" s="3" t="s">
        <v>191</v>
      </c>
      <c r="B102" s="3" t="s">
        <v>1215</v>
      </c>
      <c r="C102" s="3" t="s">
        <v>881</v>
      </c>
      <c r="D102" s="3" t="s">
        <v>893</v>
      </c>
      <c r="E102" s="3" t="s">
        <v>1185</v>
      </c>
      <c r="F102" s="3" t="s">
        <v>1183</v>
      </c>
      <c r="G102" s="3" t="s">
        <v>1183</v>
      </c>
    </row>
    <row r="103" spans="1:7" x14ac:dyDescent="0.35">
      <c r="A103" s="3" t="s">
        <v>195</v>
      </c>
      <c r="B103" s="3" t="s">
        <v>1216</v>
      </c>
      <c r="C103" s="3" t="s">
        <v>881</v>
      </c>
      <c r="D103" s="3" t="s">
        <v>893</v>
      </c>
      <c r="E103" s="3" t="s">
        <v>1185</v>
      </c>
      <c r="F103" s="3" t="s">
        <v>1183</v>
      </c>
      <c r="G103" s="3" t="s">
        <v>1183</v>
      </c>
    </row>
    <row r="104" spans="1:7" x14ac:dyDescent="0.35">
      <c r="A104" s="3" t="s">
        <v>197</v>
      </c>
      <c r="B104" s="3" t="s">
        <v>1217</v>
      </c>
      <c r="C104" s="3" t="s">
        <v>881</v>
      </c>
      <c r="D104" s="3" t="s">
        <v>893</v>
      </c>
      <c r="E104" s="3" t="s">
        <v>1185</v>
      </c>
      <c r="F104" s="3" t="s">
        <v>1183</v>
      </c>
      <c r="G104" s="3" t="s">
        <v>1183</v>
      </c>
    </row>
    <row r="105" spans="1:7" x14ac:dyDescent="0.35">
      <c r="A105" s="3" t="s">
        <v>199</v>
      </c>
      <c r="B105" s="3" t="s">
        <v>1218</v>
      </c>
      <c r="C105" s="3" t="s">
        <v>881</v>
      </c>
      <c r="D105" s="3" t="s">
        <v>893</v>
      </c>
      <c r="E105" s="3" t="s">
        <v>1185</v>
      </c>
      <c r="F105" s="3" t="s">
        <v>1183</v>
      </c>
      <c r="G105" s="3" t="s">
        <v>1183</v>
      </c>
    </row>
    <row r="106" spans="1:7" x14ac:dyDescent="0.35">
      <c r="A106" s="3" t="s">
        <v>201</v>
      </c>
      <c r="B106" s="3" t="s">
        <v>1219</v>
      </c>
      <c r="C106" s="3" t="s">
        <v>881</v>
      </c>
      <c r="D106" s="3" t="s">
        <v>893</v>
      </c>
      <c r="E106" s="3" t="s">
        <v>1185</v>
      </c>
      <c r="F106" s="3" t="s">
        <v>1183</v>
      </c>
      <c r="G106" s="3" t="s">
        <v>1183</v>
      </c>
    </row>
    <row r="107" spans="1:7" x14ac:dyDescent="0.35">
      <c r="A107" s="3" t="s">
        <v>203</v>
      </c>
      <c r="B107" s="3" t="s">
        <v>1220</v>
      </c>
      <c r="C107" s="3" t="s">
        <v>881</v>
      </c>
      <c r="D107" s="3" t="s">
        <v>893</v>
      </c>
      <c r="E107" s="3" t="s">
        <v>1185</v>
      </c>
      <c r="F107" s="3" t="s">
        <v>1183</v>
      </c>
      <c r="G107" s="3" t="s">
        <v>1183</v>
      </c>
    </row>
    <row r="108" spans="1:7" x14ac:dyDescent="0.35">
      <c r="A108" s="3" t="s">
        <v>205</v>
      </c>
      <c r="B108" s="3" t="s">
        <v>1221</v>
      </c>
      <c r="C108" s="3" t="s">
        <v>881</v>
      </c>
      <c r="D108" s="3" t="s">
        <v>893</v>
      </c>
      <c r="E108" s="3" t="s">
        <v>1185</v>
      </c>
      <c r="F108" s="3" t="s">
        <v>1183</v>
      </c>
      <c r="G108" s="3" t="s">
        <v>1183</v>
      </c>
    </row>
    <row r="109" spans="1:7" x14ac:dyDescent="0.35">
      <c r="A109" s="3" t="s">
        <v>207</v>
      </c>
      <c r="B109" s="3" t="s">
        <v>1222</v>
      </c>
      <c r="C109" s="3" t="s">
        <v>881</v>
      </c>
      <c r="D109" s="3" t="s">
        <v>893</v>
      </c>
      <c r="E109" s="3" t="s">
        <v>1185</v>
      </c>
      <c r="F109" s="3" t="s">
        <v>1183</v>
      </c>
      <c r="G109" s="3" t="s">
        <v>1183</v>
      </c>
    </row>
    <row r="110" spans="1:7" x14ac:dyDescent="0.35">
      <c r="A110" s="3" t="s">
        <v>209</v>
      </c>
      <c r="B110" s="3" t="s">
        <v>1223</v>
      </c>
      <c r="C110" s="3" t="s">
        <v>881</v>
      </c>
      <c r="D110" s="3" t="s">
        <v>893</v>
      </c>
      <c r="E110" s="3" t="s">
        <v>1185</v>
      </c>
      <c r="F110" s="3" t="s">
        <v>1183</v>
      </c>
      <c r="G110" s="3" t="s">
        <v>1183</v>
      </c>
    </row>
    <row r="111" spans="1:7" x14ac:dyDescent="0.35">
      <c r="A111" s="3" t="s">
        <v>211</v>
      </c>
      <c r="B111" s="3" t="s">
        <v>1224</v>
      </c>
      <c r="C111" s="3" t="s">
        <v>881</v>
      </c>
      <c r="D111" s="3" t="s">
        <v>893</v>
      </c>
      <c r="E111" s="3" t="s">
        <v>1185</v>
      </c>
      <c r="F111" s="3" t="s">
        <v>1183</v>
      </c>
      <c r="G111" s="3" t="s">
        <v>1183</v>
      </c>
    </row>
    <row r="112" spans="1:7" x14ac:dyDescent="0.35">
      <c r="A112" s="4" t="s">
        <v>213</v>
      </c>
      <c r="B112" s="4" t="s">
        <v>973</v>
      </c>
      <c r="C112" s="4" t="s">
        <v>881</v>
      </c>
      <c r="D112" s="4" t="s">
        <v>894</v>
      </c>
      <c r="E112" s="4" t="s">
        <v>1183</v>
      </c>
      <c r="F112" s="4" t="s">
        <v>1183</v>
      </c>
      <c r="G112" s="4" t="s">
        <v>1183</v>
      </c>
    </row>
    <row r="113" spans="1:7" x14ac:dyDescent="0.35">
      <c r="A113" s="4" t="s">
        <v>974</v>
      </c>
      <c r="B113" s="4" t="s">
        <v>975</v>
      </c>
      <c r="C113" s="4" t="s">
        <v>881</v>
      </c>
      <c r="D113" s="4" t="s">
        <v>975</v>
      </c>
      <c r="E113" s="4" t="s">
        <v>1183</v>
      </c>
      <c r="F113" s="4" t="s">
        <v>1183</v>
      </c>
      <c r="G113" s="4" t="s">
        <v>1183</v>
      </c>
    </row>
    <row r="114" spans="1:7" x14ac:dyDescent="0.35">
      <c r="A114" s="4" t="s">
        <v>976</v>
      </c>
      <c r="B114" s="4" t="s">
        <v>977</v>
      </c>
      <c r="C114" s="4" t="s">
        <v>881</v>
      </c>
      <c r="D114" s="4" t="s">
        <v>977</v>
      </c>
      <c r="E114" s="4" t="s">
        <v>1183</v>
      </c>
      <c r="F114" s="4" t="s">
        <v>1183</v>
      </c>
      <c r="G114" s="4" t="s">
        <v>1183</v>
      </c>
    </row>
    <row r="115" spans="1:7" x14ac:dyDescent="0.35">
      <c r="A115" s="4" t="s">
        <v>214</v>
      </c>
      <c r="B115" s="4" t="s">
        <v>215</v>
      </c>
      <c r="C115" s="4" t="s">
        <v>881</v>
      </c>
      <c r="D115" s="4" t="s">
        <v>215</v>
      </c>
      <c r="E115" s="4" t="s">
        <v>1183</v>
      </c>
      <c r="F115" s="4" t="s">
        <v>1183</v>
      </c>
      <c r="G115" s="4" t="s">
        <v>1183</v>
      </c>
    </row>
    <row r="116" spans="1:7" x14ac:dyDescent="0.35">
      <c r="A116" s="4" t="s">
        <v>216</v>
      </c>
      <c r="B116" s="4" t="s">
        <v>217</v>
      </c>
      <c r="C116" s="4" t="s">
        <v>881</v>
      </c>
      <c r="D116" s="4" t="s">
        <v>217</v>
      </c>
      <c r="E116" s="4" t="s">
        <v>1183</v>
      </c>
      <c r="F116" s="4" t="s">
        <v>1183</v>
      </c>
      <c r="G116" s="4" t="s">
        <v>1183</v>
      </c>
    </row>
    <row r="117" spans="1:7" x14ac:dyDescent="0.35">
      <c r="A117" s="4" t="s">
        <v>218</v>
      </c>
      <c r="B117" s="4" t="s">
        <v>895</v>
      </c>
      <c r="C117" s="4" t="s">
        <v>881</v>
      </c>
      <c r="D117" s="4" t="s">
        <v>896</v>
      </c>
      <c r="E117" s="4" t="s">
        <v>1185</v>
      </c>
      <c r="F117" s="4" t="s">
        <v>1183</v>
      </c>
      <c r="G117" s="4" t="s">
        <v>1183</v>
      </c>
    </row>
    <row r="118" spans="1:7" x14ac:dyDescent="0.35">
      <c r="A118" s="4" t="s">
        <v>219</v>
      </c>
      <c r="B118" s="4" t="s">
        <v>1225</v>
      </c>
      <c r="C118" s="4" t="s">
        <v>881</v>
      </c>
      <c r="D118" s="4" t="s">
        <v>896</v>
      </c>
      <c r="E118" s="4" t="s">
        <v>1185</v>
      </c>
      <c r="F118" s="4" t="s">
        <v>1183</v>
      </c>
      <c r="G118" s="4" t="s">
        <v>1183</v>
      </c>
    </row>
    <row r="119" spans="1:7" x14ac:dyDescent="0.35">
      <c r="A119" s="6" t="s">
        <v>221</v>
      </c>
      <c r="B119" s="6" t="s">
        <v>222</v>
      </c>
      <c r="C119" s="6" t="s">
        <v>881</v>
      </c>
      <c r="D119" s="6" t="s">
        <v>222</v>
      </c>
      <c r="E119" s="6" t="s">
        <v>1183</v>
      </c>
      <c r="F119" s="6" t="s">
        <v>1183</v>
      </c>
      <c r="G119" s="6" t="s">
        <v>1183</v>
      </c>
    </row>
    <row r="120" spans="1:7" x14ac:dyDescent="0.35">
      <c r="A120" s="6" t="s">
        <v>223</v>
      </c>
      <c r="B120" s="6" t="s">
        <v>224</v>
      </c>
      <c r="C120" s="6" t="s">
        <v>881</v>
      </c>
      <c r="D120" s="6" t="s">
        <v>224</v>
      </c>
      <c r="E120" s="6" t="s">
        <v>1183</v>
      </c>
      <c r="F120" s="6" t="s">
        <v>1183</v>
      </c>
      <c r="G120" s="6" t="s">
        <v>1183</v>
      </c>
    </row>
    <row r="121" spans="1:7" x14ac:dyDescent="0.35">
      <c r="A121" s="6" t="s">
        <v>978</v>
      </c>
      <c r="B121" s="6" t="s">
        <v>1226</v>
      </c>
      <c r="C121" s="6" t="s">
        <v>881</v>
      </c>
      <c r="D121" s="6" t="s">
        <v>226</v>
      </c>
      <c r="E121" s="6" t="s">
        <v>1185</v>
      </c>
      <c r="F121" s="6" t="s">
        <v>1183</v>
      </c>
      <c r="G121" s="6" t="s">
        <v>1183</v>
      </c>
    </row>
    <row r="122" spans="1:7" x14ac:dyDescent="0.35">
      <c r="A122" s="6" t="s">
        <v>225</v>
      </c>
      <c r="B122" s="6" t="s">
        <v>226</v>
      </c>
      <c r="C122" s="6" t="s">
        <v>881</v>
      </c>
      <c r="D122" s="6" t="s">
        <v>226</v>
      </c>
      <c r="E122" s="6" t="s">
        <v>1185</v>
      </c>
      <c r="F122" s="6" t="s">
        <v>1183</v>
      </c>
      <c r="G122" s="6" t="s">
        <v>1183</v>
      </c>
    </row>
    <row r="123" spans="1:7" x14ac:dyDescent="0.35">
      <c r="A123" s="6" t="s">
        <v>979</v>
      </c>
      <c r="B123" s="6" t="s">
        <v>980</v>
      </c>
      <c r="C123" s="6" t="s">
        <v>881</v>
      </c>
      <c r="D123" s="6" t="s">
        <v>980</v>
      </c>
      <c r="E123" s="6" t="s">
        <v>1183</v>
      </c>
      <c r="F123" s="6" t="s">
        <v>1183</v>
      </c>
      <c r="G123" s="6" t="s">
        <v>1183</v>
      </c>
    </row>
    <row r="124" spans="1:7" x14ac:dyDescent="0.35">
      <c r="A124" s="6" t="s">
        <v>981</v>
      </c>
      <c r="B124" s="6" t="s">
        <v>982</v>
      </c>
      <c r="C124" s="6" t="s">
        <v>881</v>
      </c>
      <c r="D124" s="6" t="s">
        <v>982</v>
      </c>
      <c r="E124" s="6" t="s">
        <v>1183</v>
      </c>
      <c r="F124" s="6" t="s">
        <v>1183</v>
      </c>
      <c r="G124" s="6" t="s">
        <v>1183</v>
      </c>
    </row>
    <row r="125" spans="1:7" x14ac:dyDescent="0.35">
      <c r="A125" s="6" t="s">
        <v>227</v>
      </c>
      <c r="B125" s="6" t="s">
        <v>1227</v>
      </c>
      <c r="C125" s="6" t="s">
        <v>881</v>
      </c>
      <c r="D125" s="6" t="s">
        <v>897</v>
      </c>
      <c r="E125" s="6" t="s">
        <v>1185</v>
      </c>
      <c r="F125" s="6" t="s">
        <v>1183</v>
      </c>
      <c r="G125" s="6" t="s">
        <v>1183</v>
      </c>
    </row>
    <row r="126" spans="1:7" x14ac:dyDescent="0.35">
      <c r="A126" s="6" t="s">
        <v>229</v>
      </c>
      <c r="B126" s="6" t="s">
        <v>1228</v>
      </c>
      <c r="C126" s="6" t="s">
        <v>881</v>
      </c>
      <c r="D126" s="6" t="s">
        <v>897</v>
      </c>
      <c r="E126" s="6" t="s">
        <v>1185</v>
      </c>
      <c r="F126" s="6" t="s">
        <v>1183</v>
      </c>
      <c r="G126" s="6" t="s">
        <v>1183</v>
      </c>
    </row>
    <row r="127" spans="1:7" x14ac:dyDescent="0.35">
      <c r="A127" s="6" t="s">
        <v>231</v>
      </c>
      <c r="B127" s="6" t="s">
        <v>232</v>
      </c>
      <c r="C127" s="6" t="s">
        <v>881</v>
      </c>
      <c r="D127" s="6" t="s">
        <v>898</v>
      </c>
      <c r="E127" s="6" t="s">
        <v>1183</v>
      </c>
      <c r="F127" s="6" t="s">
        <v>1183</v>
      </c>
      <c r="G127" s="6" t="s">
        <v>1183</v>
      </c>
    </row>
    <row r="128" spans="1:7" x14ac:dyDescent="0.35">
      <c r="A128" s="6" t="s">
        <v>233</v>
      </c>
      <c r="B128" s="6" t="s">
        <v>234</v>
      </c>
      <c r="C128" s="6" t="s">
        <v>881</v>
      </c>
      <c r="D128" s="6" t="s">
        <v>898</v>
      </c>
      <c r="E128" s="6" t="s">
        <v>1183</v>
      </c>
      <c r="F128" s="6" t="s">
        <v>1183</v>
      </c>
      <c r="G128" s="6" t="s">
        <v>1183</v>
      </c>
    </row>
    <row r="129" spans="1:7" x14ac:dyDescent="0.35">
      <c r="A129" s="6" t="s">
        <v>235</v>
      </c>
      <c r="B129" s="6" t="s">
        <v>236</v>
      </c>
      <c r="C129" s="6" t="s">
        <v>881</v>
      </c>
      <c r="D129" s="6" t="s">
        <v>898</v>
      </c>
      <c r="E129" s="6" t="s">
        <v>1183</v>
      </c>
      <c r="F129" s="6" t="s">
        <v>1183</v>
      </c>
      <c r="G129" s="6" t="s">
        <v>1183</v>
      </c>
    </row>
    <row r="130" spans="1:7" x14ac:dyDescent="0.35">
      <c r="A130" s="6" t="s">
        <v>237</v>
      </c>
      <c r="B130" s="6" t="s">
        <v>1229</v>
      </c>
      <c r="C130" s="6" t="s">
        <v>881</v>
      </c>
      <c r="D130" s="6" t="s">
        <v>898</v>
      </c>
      <c r="E130" s="6" t="s">
        <v>1185</v>
      </c>
      <c r="F130" s="6" t="s">
        <v>1183</v>
      </c>
      <c r="G130" s="6" t="s">
        <v>1183</v>
      </c>
    </row>
    <row r="131" spans="1:7" x14ac:dyDescent="0.35">
      <c r="A131" s="6" t="s">
        <v>239</v>
      </c>
      <c r="B131" s="6" t="s">
        <v>1230</v>
      </c>
      <c r="C131" s="6" t="s">
        <v>881</v>
      </c>
      <c r="D131" s="6" t="s">
        <v>898</v>
      </c>
      <c r="E131" s="6" t="s">
        <v>1185</v>
      </c>
      <c r="F131" s="6" t="s">
        <v>1183</v>
      </c>
      <c r="G131" s="6" t="s">
        <v>1183</v>
      </c>
    </row>
    <row r="132" spans="1:7" x14ac:dyDescent="0.35">
      <c r="A132" s="6" t="s">
        <v>241</v>
      </c>
      <c r="B132" s="6" t="s">
        <v>1231</v>
      </c>
      <c r="C132" s="6" t="s">
        <v>881</v>
      </c>
      <c r="D132" s="6" t="s">
        <v>898</v>
      </c>
      <c r="E132" s="6" t="s">
        <v>1185</v>
      </c>
      <c r="F132" s="6" t="s">
        <v>1183</v>
      </c>
      <c r="G132" s="6" t="s">
        <v>1183</v>
      </c>
    </row>
    <row r="133" spans="1:7" x14ac:dyDescent="0.35">
      <c r="A133" s="6" t="s">
        <v>984</v>
      </c>
      <c r="B133" s="6" t="s">
        <v>980</v>
      </c>
      <c r="C133" s="6" t="s">
        <v>881</v>
      </c>
      <c r="D133" s="6" t="s">
        <v>980</v>
      </c>
      <c r="E133" s="6" t="s">
        <v>1183</v>
      </c>
      <c r="F133" s="6" t="s">
        <v>1183</v>
      </c>
      <c r="G133" s="6" t="s">
        <v>1183</v>
      </c>
    </row>
    <row r="134" spans="1:7" x14ac:dyDescent="0.35">
      <c r="A134" s="6" t="s">
        <v>985</v>
      </c>
      <c r="B134" s="6" t="s">
        <v>982</v>
      </c>
      <c r="C134" s="6" t="s">
        <v>881</v>
      </c>
      <c r="D134" s="6" t="s">
        <v>986</v>
      </c>
      <c r="E134" s="6" t="s">
        <v>1183</v>
      </c>
      <c r="F134" s="6" t="s">
        <v>1183</v>
      </c>
      <c r="G134" s="6" t="s">
        <v>1183</v>
      </c>
    </row>
    <row r="135" spans="1:7" x14ac:dyDescent="0.35">
      <c r="A135" s="6" t="s">
        <v>243</v>
      </c>
      <c r="B135" s="6" t="s">
        <v>244</v>
      </c>
      <c r="C135" s="6" t="s">
        <v>881</v>
      </c>
      <c r="D135" s="6" t="s">
        <v>897</v>
      </c>
      <c r="E135" s="6" t="s">
        <v>1183</v>
      </c>
      <c r="F135" s="6" t="s">
        <v>1183</v>
      </c>
      <c r="G135" s="6" t="s">
        <v>1183</v>
      </c>
    </row>
    <row r="136" spans="1:7" x14ac:dyDescent="0.35">
      <c r="A136" s="6" t="s">
        <v>245</v>
      </c>
      <c r="B136" s="6" t="s">
        <v>246</v>
      </c>
      <c r="C136" s="6" t="s">
        <v>881</v>
      </c>
      <c r="D136" s="6" t="s">
        <v>897</v>
      </c>
      <c r="E136" s="6" t="s">
        <v>1185</v>
      </c>
      <c r="F136" s="6" t="s">
        <v>1183</v>
      </c>
      <c r="G136" s="6" t="s">
        <v>1183</v>
      </c>
    </row>
    <row r="137" spans="1:7" x14ac:dyDescent="0.35">
      <c r="A137" s="6" t="s">
        <v>987</v>
      </c>
      <c r="B137" s="6" t="s">
        <v>988</v>
      </c>
      <c r="C137" s="6" t="s">
        <v>881</v>
      </c>
      <c r="D137" s="6" t="s">
        <v>897</v>
      </c>
      <c r="E137" s="6" t="s">
        <v>1183</v>
      </c>
      <c r="F137" s="6" t="s">
        <v>1183</v>
      </c>
      <c r="G137" s="6" t="s">
        <v>1183</v>
      </c>
    </row>
    <row r="138" spans="1:7" x14ac:dyDescent="0.35">
      <c r="A138" s="6" t="s">
        <v>247</v>
      </c>
      <c r="B138" s="6" t="s">
        <v>248</v>
      </c>
      <c r="C138" s="6" t="s">
        <v>881</v>
      </c>
      <c r="D138" s="6" t="s">
        <v>248</v>
      </c>
      <c r="E138" s="6" t="s">
        <v>1185</v>
      </c>
      <c r="F138" s="6" t="s">
        <v>1183</v>
      </c>
      <c r="G138" s="6" t="s">
        <v>1183</v>
      </c>
    </row>
    <row r="139" spans="1:7" x14ac:dyDescent="0.35">
      <c r="A139" s="6" t="s">
        <v>989</v>
      </c>
      <c r="B139" s="6" t="s">
        <v>990</v>
      </c>
      <c r="C139" s="6" t="s">
        <v>881</v>
      </c>
      <c r="D139" s="6" t="s">
        <v>248</v>
      </c>
      <c r="E139" s="6" t="s">
        <v>1183</v>
      </c>
      <c r="F139" s="6" t="s">
        <v>1183</v>
      </c>
      <c r="G139" s="6" t="s">
        <v>1183</v>
      </c>
    </row>
    <row r="140" spans="1:7" x14ac:dyDescent="0.35">
      <c r="A140" s="6" t="s">
        <v>249</v>
      </c>
      <c r="B140" s="6" t="s">
        <v>250</v>
      </c>
      <c r="C140" s="6" t="s">
        <v>881</v>
      </c>
      <c r="D140" s="6" t="s">
        <v>868</v>
      </c>
      <c r="E140" s="6" t="s">
        <v>1183</v>
      </c>
      <c r="F140" s="6" t="s">
        <v>1183</v>
      </c>
      <c r="G140" s="6" t="s">
        <v>1183</v>
      </c>
    </row>
    <row r="141" spans="1:7" x14ac:dyDescent="0.35">
      <c r="A141" s="6" t="s">
        <v>251</v>
      </c>
      <c r="B141" s="6" t="s">
        <v>252</v>
      </c>
      <c r="C141" s="6" t="s">
        <v>881</v>
      </c>
      <c r="D141" s="6" t="s">
        <v>868</v>
      </c>
      <c r="E141" s="6" t="s">
        <v>1183</v>
      </c>
      <c r="F141" s="6" t="s">
        <v>1183</v>
      </c>
      <c r="G141" s="6" t="s">
        <v>1183</v>
      </c>
    </row>
    <row r="142" spans="1:7" x14ac:dyDescent="0.35">
      <c r="A142" s="6" t="s">
        <v>253</v>
      </c>
      <c r="B142" s="6" t="s">
        <v>254</v>
      </c>
      <c r="C142" s="6" t="s">
        <v>881</v>
      </c>
      <c r="D142" s="6" t="s">
        <v>868</v>
      </c>
      <c r="E142" s="6" t="s">
        <v>1183</v>
      </c>
      <c r="F142" s="6" t="s">
        <v>1183</v>
      </c>
      <c r="G142" s="6" t="s">
        <v>1183</v>
      </c>
    </row>
    <row r="143" spans="1:7" x14ac:dyDescent="0.35">
      <c r="A143" s="6" t="s">
        <v>255</v>
      </c>
      <c r="B143" s="6" t="s">
        <v>256</v>
      </c>
      <c r="C143" s="6" t="s">
        <v>881</v>
      </c>
      <c r="D143" s="6" t="s">
        <v>899</v>
      </c>
      <c r="E143" s="6" t="s">
        <v>1185</v>
      </c>
      <c r="F143" s="6" t="s">
        <v>1183</v>
      </c>
      <c r="G143" s="6" t="s">
        <v>1183</v>
      </c>
    </row>
    <row r="144" spans="1:7" x14ac:dyDescent="0.35">
      <c r="A144" s="6" t="s">
        <v>257</v>
      </c>
      <c r="B144" s="6" t="s">
        <v>258</v>
      </c>
      <c r="C144" s="6" t="s">
        <v>881</v>
      </c>
      <c r="D144" s="6" t="s">
        <v>899</v>
      </c>
      <c r="E144" s="6" t="s">
        <v>1185</v>
      </c>
      <c r="F144" s="6" t="s">
        <v>1183</v>
      </c>
      <c r="G144" s="6" t="s">
        <v>1183</v>
      </c>
    </row>
    <row r="145" spans="1:7" x14ac:dyDescent="0.35">
      <c r="A145" s="6" t="s">
        <v>259</v>
      </c>
      <c r="B145" s="6" t="s">
        <v>260</v>
      </c>
      <c r="C145" s="6" t="s">
        <v>881</v>
      </c>
      <c r="D145" s="6" t="s">
        <v>899</v>
      </c>
      <c r="E145" s="6" t="s">
        <v>1183</v>
      </c>
      <c r="F145" s="6" t="s">
        <v>1183</v>
      </c>
      <c r="G145" s="6" t="s">
        <v>1183</v>
      </c>
    </row>
    <row r="146" spans="1:7" x14ac:dyDescent="0.35">
      <c r="A146" s="6" t="s">
        <v>261</v>
      </c>
      <c r="B146" s="6" t="s">
        <v>262</v>
      </c>
      <c r="C146" s="6" t="s">
        <v>881</v>
      </c>
      <c r="D146" s="6" t="s">
        <v>899</v>
      </c>
      <c r="E146" s="6" t="s">
        <v>1183</v>
      </c>
      <c r="F146" s="6" t="s">
        <v>1183</v>
      </c>
      <c r="G146" s="6" t="s">
        <v>1183</v>
      </c>
    </row>
    <row r="147" spans="1:7" x14ac:dyDescent="0.35">
      <c r="A147" s="6" t="s">
        <v>263</v>
      </c>
      <c r="B147" s="6" t="s">
        <v>264</v>
      </c>
      <c r="C147" s="6" t="s">
        <v>881</v>
      </c>
      <c r="D147" s="6" t="s">
        <v>899</v>
      </c>
      <c r="E147" s="6" t="s">
        <v>1183</v>
      </c>
      <c r="F147" s="6" t="s">
        <v>1183</v>
      </c>
      <c r="G147" s="6" t="s">
        <v>1183</v>
      </c>
    </row>
    <row r="148" spans="1:7" x14ac:dyDescent="0.35">
      <c r="A148" s="6" t="s">
        <v>265</v>
      </c>
      <c r="B148" s="6" t="s">
        <v>266</v>
      </c>
      <c r="C148" s="6" t="s">
        <v>881</v>
      </c>
      <c r="D148" s="6" t="s">
        <v>899</v>
      </c>
      <c r="E148" s="6" t="s">
        <v>1185</v>
      </c>
      <c r="F148" s="6" t="s">
        <v>1183</v>
      </c>
      <c r="G148" s="6" t="s">
        <v>1183</v>
      </c>
    </row>
    <row r="149" spans="1:7" x14ac:dyDescent="0.35">
      <c r="A149" s="6" t="s">
        <v>267</v>
      </c>
      <c r="B149" s="6" t="s">
        <v>268</v>
      </c>
      <c r="C149" s="6" t="s">
        <v>881</v>
      </c>
      <c r="D149" s="6" t="s">
        <v>899</v>
      </c>
      <c r="E149" s="6" t="s">
        <v>1183</v>
      </c>
      <c r="F149" s="6" t="s">
        <v>1183</v>
      </c>
      <c r="G149" s="6" t="s">
        <v>1183</v>
      </c>
    </row>
    <row r="150" spans="1:7" x14ac:dyDescent="0.35">
      <c r="A150" s="6" t="s">
        <v>269</v>
      </c>
      <c r="B150" s="6" t="s">
        <v>270</v>
      </c>
      <c r="C150" s="6" t="s">
        <v>881</v>
      </c>
      <c r="D150" s="6" t="s">
        <v>899</v>
      </c>
      <c r="E150" s="6" t="s">
        <v>1185</v>
      </c>
      <c r="F150" s="6" t="s">
        <v>1183</v>
      </c>
      <c r="G150" s="6" t="s">
        <v>1183</v>
      </c>
    </row>
    <row r="151" spans="1:7" x14ac:dyDescent="0.35">
      <c r="A151" s="6" t="s">
        <v>271</v>
      </c>
      <c r="B151" s="6" t="s">
        <v>272</v>
      </c>
      <c r="C151" s="6" t="s">
        <v>881</v>
      </c>
      <c r="D151" s="6" t="s">
        <v>899</v>
      </c>
      <c r="E151" s="6" t="s">
        <v>1185</v>
      </c>
      <c r="F151" s="6" t="s">
        <v>1183</v>
      </c>
      <c r="G151" s="6" t="s">
        <v>1183</v>
      </c>
    </row>
    <row r="152" spans="1:7" x14ac:dyDescent="0.35">
      <c r="A152" s="6" t="s">
        <v>273</v>
      </c>
      <c r="B152" s="6" t="s">
        <v>274</v>
      </c>
      <c r="C152" s="6" t="s">
        <v>881</v>
      </c>
      <c r="D152" s="6" t="s">
        <v>899</v>
      </c>
      <c r="E152" s="6" t="s">
        <v>1185</v>
      </c>
      <c r="F152" s="6" t="s">
        <v>1183</v>
      </c>
      <c r="G152" s="6" t="s">
        <v>1183</v>
      </c>
    </row>
    <row r="153" spans="1:7" x14ac:dyDescent="0.35">
      <c r="A153" s="6" t="s">
        <v>275</v>
      </c>
      <c r="B153" s="6" t="s">
        <v>276</v>
      </c>
      <c r="C153" s="6" t="s">
        <v>881</v>
      </c>
      <c r="D153" s="6" t="s">
        <v>899</v>
      </c>
      <c r="E153" s="6" t="s">
        <v>1185</v>
      </c>
      <c r="F153" s="6" t="s">
        <v>1183</v>
      </c>
      <c r="G153" s="6" t="s">
        <v>1183</v>
      </c>
    </row>
    <row r="154" spans="1:7" x14ac:dyDescent="0.35">
      <c r="A154" s="6" t="s">
        <v>277</v>
      </c>
      <c r="B154" s="6" t="s">
        <v>278</v>
      </c>
      <c r="C154" s="6" t="s">
        <v>881</v>
      </c>
      <c r="D154" s="6" t="s">
        <v>899</v>
      </c>
      <c r="E154" s="6" t="s">
        <v>1185</v>
      </c>
      <c r="F154" s="6" t="s">
        <v>1183</v>
      </c>
      <c r="G154" s="6" t="s">
        <v>1183</v>
      </c>
    </row>
    <row r="155" spans="1:7" x14ac:dyDescent="0.35">
      <c r="A155" s="6" t="s">
        <v>279</v>
      </c>
      <c r="B155" s="6" t="s">
        <v>280</v>
      </c>
      <c r="C155" s="6" t="s">
        <v>881</v>
      </c>
      <c r="D155" s="6" t="s">
        <v>899</v>
      </c>
      <c r="E155" s="6" t="s">
        <v>1185</v>
      </c>
      <c r="F155" s="6" t="s">
        <v>1183</v>
      </c>
      <c r="G155" s="6" t="s">
        <v>1183</v>
      </c>
    </row>
    <row r="156" spans="1:7" x14ac:dyDescent="0.35">
      <c r="A156" s="6" t="s">
        <v>281</v>
      </c>
      <c r="B156" s="6" t="s">
        <v>282</v>
      </c>
      <c r="C156" s="6" t="s">
        <v>881</v>
      </c>
      <c r="D156" s="6" t="s">
        <v>899</v>
      </c>
      <c r="E156" s="6" t="s">
        <v>1185</v>
      </c>
      <c r="F156" s="6" t="s">
        <v>1183</v>
      </c>
      <c r="G156" s="6" t="s">
        <v>1183</v>
      </c>
    </row>
    <row r="157" spans="1:7" x14ac:dyDescent="0.35">
      <c r="A157" s="6" t="s">
        <v>283</v>
      </c>
      <c r="B157" s="6" t="s">
        <v>284</v>
      </c>
      <c r="C157" s="6" t="s">
        <v>881</v>
      </c>
      <c r="D157" s="6" t="s">
        <v>899</v>
      </c>
      <c r="E157" s="6" t="s">
        <v>1185</v>
      </c>
      <c r="F157" s="6" t="s">
        <v>1183</v>
      </c>
      <c r="G157" s="6" t="s">
        <v>1183</v>
      </c>
    </row>
    <row r="158" spans="1:7" x14ac:dyDescent="0.35">
      <c r="A158" s="6" t="s">
        <v>285</v>
      </c>
      <c r="B158" s="6" t="s">
        <v>286</v>
      </c>
      <c r="C158" s="6" t="s">
        <v>881</v>
      </c>
      <c r="D158" s="6" t="s">
        <v>899</v>
      </c>
      <c r="E158" s="6" t="s">
        <v>1185</v>
      </c>
      <c r="F158" s="6" t="s">
        <v>1183</v>
      </c>
      <c r="G158" s="6" t="s">
        <v>1183</v>
      </c>
    </row>
    <row r="159" spans="1:7" x14ac:dyDescent="0.35">
      <c r="A159" s="6" t="s">
        <v>287</v>
      </c>
      <c r="B159" s="6" t="s">
        <v>288</v>
      </c>
      <c r="C159" s="6" t="s">
        <v>881</v>
      </c>
      <c r="D159" s="6" t="s">
        <v>899</v>
      </c>
      <c r="E159" s="6" t="s">
        <v>1185</v>
      </c>
      <c r="F159" s="6" t="s">
        <v>1183</v>
      </c>
      <c r="G159" s="6" t="s">
        <v>1183</v>
      </c>
    </row>
    <row r="160" spans="1:7" x14ac:dyDescent="0.35">
      <c r="A160" s="6" t="s">
        <v>289</v>
      </c>
      <c r="B160" s="6" t="s">
        <v>290</v>
      </c>
      <c r="C160" s="6" t="s">
        <v>881</v>
      </c>
      <c r="D160" s="6" t="s">
        <v>899</v>
      </c>
      <c r="E160" s="6" t="s">
        <v>1185</v>
      </c>
      <c r="F160" s="6" t="s">
        <v>1183</v>
      </c>
      <c r="G160" s="6" t="s">
        <v>1183</v>
      </c>
    </row>
    <row r="161" spans="1:7" x14ac:dyDescent="0.35">
      <c r="A161" s="6" t="s">
        <v>291</v>
      </c>
      <c r="B161" s="6" t="s">
        <v>292</v>
      </c>
      <c r="C161" s="6" t="s">
        <v>881</v>
      </c>
      <c r="D161" s="6" t="s">
        <v>899</v>
      </c>
      <c r="E161" s="6" t="s">
        <v>1185</v>
      </c>
      <c r="F161" s="6" t="s">
        <v>1183</v>
      </c>
      <c r="G161" s="6" t="s">
        <v>1183</v>
      </c>
    </row>
    <row r="162" spans="1:7" x14ac:dyDescent="0.35">
      <c r="A162" s="6" t="s">
        <v>293</v>
      </c>
      <c r="B162" s="6" t="s">
        <v>294</v>
      </c>
      <c r="C162" s="6" t="s">
        <v>881</v>
      </c>
      <c r="D162" s="6" t="s">
        <v>899</v>
      </c>
      <c r="E162" s="6" t="s">
        <v>1183</v>
      </c>
      <c r="F162" s="6" t="s">
        <v>1183</v>
      </c>
      <c r="G162" s="6" t="s">
        <v>1183</v>
      </c>
    </row>
    <row r="163" spans="1:7" x14ac:dyDescent="0.35">
      <c r="A163" s="6" t="s">
        <v>991</v>
      </c>
      <c r="B163" s="6" t="s">
        <v>992</v>
      </c>
      <c r="C163" s="6" t="s">
        <v>881</v>
      </c>
      <c r="D163" s="6" t="s">
        <v>325</v>
      </c>
      <c r="E163" s="6" t="s">
        <v>1183</v>
      </c>
      <c r="F163" s="6" t="s">
        <v>1183</v>
      </c>
      <c r="G163" s="6" t="s">
        <v>1183</v>
      </c>
    </row>
    <row r="164" spans="1:7" x14ac:dyDescent="0.35">
      <c r="A164" s="6" t="s">
        <v>295</v>
      </c>
      <c r="B164" s="6" t="s">
        <v>993</v>
      </c>
      <c r="C164" s="6" t="s">
        <v>881</v>
      </c>
      <c r="D164" s="6" t="s">
        <v>325</v>
      </c>
      <c r="E164" s="6" t="s">
        <v>1183</v>
      </c>
      <c r="F164" s="6" t="s">
        <v>1183</v>
      </c>
      <c r="G164" s="6" t="s">
        <v>1183</v>
      </c>
    </row>
    <row r="165" spans="1:7" x14ac:dyDescent="0.35">
      <c r="A165" s="6" t="s">
        <v>299</v>
      </c>
      <c r="B165" s="6" t="s">
        <v>232</v>
      </c>
      <c r="C165" s="6" t="s">
        <v>881</v>
      </c>
      <c r="D165" s="6" t="s">
        <v>325</v>
      </c>
      <c r="E165" s="6" t="s">
        <v>1183</v>
      </c>
      <c r="F165" s="6" t="s">
        <v>1183</v>
      </c>
      <c r="G165" s="6" t="s">
        <v>1183</v>
      </c>
    </row>
    <row r="166" spans="1:7" x14ac:dyDescent="0.35">
      <c r="A166" s="6" t="s">
        <v>300</v>
      </c>
      <c r="B166" s="6" t="s">
        <v>234</v>
      </c>
      <c r="C166" s="6" t="s">
        <v>881</v>
      </c>
      <c r="D166" s="6" t="s">
        <v>325</v>
      </c>
      <c r="E166" s="6" t="s">
        <v>1183</v>
      </c>
      <c r="F166" s="6" t="s">
        <v>1183</v>
      </c>
      <c r="G166" s="6" t="s">
        <v>1183</v>
      </c>
    </row>
    <row r="167" spans="1:7" x14ac:dyDescent="0.35">
      <c r="A167" s="6" t="s">
        <v>301</v>
      </c>
      <c r="B167" s="6" t="s">
        <v>302</v>
      </c>
      <c r="C167" s="6" t="s">
        <v>881</v>
      </c>
      <c r="D167" s="6" t="s">
        <v>325</v>
      </c>
      <c r="E167" s="6" t="s">
        <v>1185</v>
      </c>
      <c r="F167" s="6" t="s">
        <v>1183</v>
      </c>
      <c r="G167" s="6" t="s">
        <v>1183</v>
      </c>
    </row>
    <row r="168" spans="1:7" x14ac:dyDescent="0.35">
      <c r="A168" s="6" t="s">
        <v>303</v>
      </c>
      <c r="B168" s="6" t="s">
        <v>304</v>
      </c>
      <c r="C168" s="6" t="s">
        <v>881</v>
      </c>
      <c r="D168" s="6" t="s">
        <v>325</v>
      </c>
      <c r="E168" s="6" t="s">
        <v>1185</v>
      </c>
      <c r="F168" s="6" t="s">
        <v>1183</v>
      </c>
      <c r="G168" s="6" t="s">
        <v>1183</v>
      </c>
    </row>
    <row r="169" spans="1:7" x14ac:dyDescent="0.35">
      <c r="A169" s="6" t="s">
        <v>305</v>
      </c>
      <c r="B169" s="6" t="s">
        <v>1232</v>
      </c>
      <c r="C169" s="6" t="s">
        <v>881</v>
      </c>
      <c r="D169" s="6" t="s">
        <v>325</v>
      </c>
      <c r="E169" s="6" t="s">
        <v>1185</v>
      </c>
      <c r="F169" s="6" t="s">
        <v>1183</v>
      </c>
      <c r="G169" s="6" t="s">
        <v>1183</v>
      </c>
    </row>
    <row r="170" spans="1:7" x14ac:dyDescent="0.35">
      <c r="A170" s="6" t="s">
        <v>307</v>
      </c>
      <c r="B170" s="6" t="s">
        <v>308</v>
      </c>
      <c r="C170" s="6" t="s">
        <v>881</v>
      </c>
      <c r="D170" s="6" t="s">
        <v>325</v>
      </c>
      <c r="E170" s="6" t="s">
        <v>1185</v>
      </c>
      <c r="F170" s="6" t="s">
        <v>1183</v>
      </c>
      <c r="G170" s="6" t="s">
        <v>1183</v>
      </c>
    </row>
    <row r="171" spans="1:7" x14ac:dyDescent="0.35">
      <c r="A171" s="6" t="s">
        <v>309</v>
      </c>
      <c r="B171" s="6" t="s">
        <v>994</v>
      </c>
      <c r="C171" s="6" t="s">
        <v>881</v>
      </c>
      <c r="D171" s="6" t="s">
        <v>325</v>
      </c>
      <c r="E171" s="6" t="s">
        <v>1185</v>
      </c>
      <c r="F171" s="6" t="s">
        <v>1183</v>
      </c>
      <c r="G171" s="6" t="s">
        <v>1183</v>
      </c>
    </row>
    <row r="172" spans="1:7" x14ac:dyDescent="0.35">
      <c r="A172" s="6" t="s">
        <v>311</v>
      </c>
      <c r="B172" s="6" t="s">
        <v>312</v>
      </c>
      <c r="C172" s="6" t="s">
        <v>881</v>
      </c>
      <c r="D172" s="6" t="s">
        <v>325</v>
      </c>
      <c r="E172" s="6" t="s">
        <v>1185</v>
      </c>
      <c r="F172" s="6" t="s">
        <v>1183</v>
      </c>
      <c r="G172" s="6" t="s">
        <v>1183</v>
      </c>
    </row>
    <row r="173" spans="1:7" x14ac:dyDescent="0.35">
      <c r="A173" s="6" t="s">
        <v>313</v>
      </c>
      <c r="B173" s="6" t="s">
        <v>1233</v>
      </c>
      <c r="C173" s="6" t="s">
        <v>881</v>
      </c>
      <c r="D173" s="6" t="s">
        <v>325</v>
      </c>
      <c r="E173" s="6" t="s">
        <v>1185</v>
      </c>
      <c r="F173" s="6" t="s">
        <v>1183</v>
      </c>
      <c r="G173" s="6" t="s">
        <v>1185</v>
      </c>
    </row>
    <row r="174" spans="1:7" x14ac:dyDescent="0.35">
      <c r="A174" s="6" t="s">
        <v>314</v>
      </c>
      <c r="B174" s="6" t="s">
        <v>1234</v>
      </c>
      <c r="C174" s="6" t="s">
        <v>881</v>
      </c>
      <c r="D174" s="6" t="s">
        <v>325</v>
      </c>
      <c r="E174" s="6" t="s">
        <v>1185</v>
      </c>
      <c r="F174" s="6" t="s">
        <v>1183</v>
      </c>
      <c r="G174" s="6" t="s">
        <v>1183</v>
      </c>
    </row>
    <row r="175" spans="1:7" x14ac:dyDescent="0.35">
      <c r="A175" s="6" t="s">
        <v>316</v>
      </c>
      <c r="B175" s="6" t="s">
        <v>1235</v>
      </c>
      <c r="C175" s="6" t="s">
        <v>881</v>
      </c>
      <c r="D175" s="6" t="s">
        <v>325</v>
      </c>
      <c r="E175" s="6" t="s">
        <v>1185</v>
      </c>
      <c r="F175" s="6" t="s">
        <v>1183</v>
      </c>
      <c r="G175" s="6" t="s">
        <v>1183</v>
      </c>
    </row>
    <row r="176" spans="1:7" x14ac:dyDescent="0.35">
      <c r="A176" s="6" t="s">
        <v>318</v>
      </c>
      <c r="B176" s="6" t="s">
        <v>1236</v>
      </c>
      <c r="C176" s="6" t="s">
        <v>881</v>
      </c>
      <c r="D176" s="6" t="s">
        <v>325</v>
      </c>
      <c r="E176" s="6" t="s">
        <v>1185</v>
      </c>
      <c r="F176" s="6" t="s">
        <v>1183</v>
      </c>
      <c r="G176" s="6" t="s">
        <v>1183</v>
      </c>
    </row>
    <row r="177" spans="1:7" x14ac:dyDescent="0.35">
      <c r="A177" s="6" t="s">
        <v>320</v>
      </c>
      <c r="B177" s="6" t="s">
        <v>321</v>
      </c>
      <c r="C177" s="6" t="s">
        <v>881</v>
      </c>
      <c r="D177" s="6" t="s">
        <v>325</v>
      </c>
      <c r="E177" s="6" t="s">
        <v>1185</v>
      </c>
      <c r="F177" s="6" t="s">
        <v>1183</v>
      </c>
      <c r="G177" s="6" t="s">
        <v>1183</v>
      </c>
    </row>
    <row r="178" spans="1:7" x14ac:dyDescent="0.35">
      <c r="A178" s="6" t="s">
        <v>322</v>
      </c>
      <c r="B178" s="6" t="s">
        <v>323</v>
      </c>
      <c r="C178" s="6" t="s">
        <v>881</v>
      </c>
      <c r="D178" s="6" t="s">
        <v>325</v>
      </c>
      <c r="E178" s="6" t="s">
        <v>1183</v>
      </c>
      <c r="F178" s="6" t="s">
        <v>1183</v>
      </c>
      <c r="G178" s="6" t="s">
        <v>1183</v>
      </c>
    </row>
    <row r="179" spans="1:7" x14ac:dyDescent="0.35">
      <c r="A179" s="6" t="s">
        <v>324</v>
      </c>
      <c r="B179" s="6" t="s">
        <v>325</v>
      </c>
      <c r="C179" s="6" t="s">
        <v>881</v>
      </c>
      <c r="D179" s="6" t="s">
        <v>325</v>
      </c>
      <c r="E179" s="6" t="s">
        <v>1185</v>
      </c>
      <c r="F179" s="6" t="s">
        <v>1183</v>
      </c>
      <c r="G179" s="6" t="s">
        <v>1183</v>
      </c>
    </row>
    <row r="180" spans="1:7" x14ac:dyDescent="0.35">
      <c r="A180" s="6" t="s">
        <v>326</v>
      </c>
      <c r="B180" s="6" t="s">
        <v>327</v>
      </c>
      <c r="C180" s="6" t="s">
        <v>881</v>
      </c>
      <c r="D180" s="6" t="s">
        <v>325</v>
      </c>
      <c r="E180" s="6" t="s">
        <v>1185</v>
      </c>
      <c r="F180" s="6" t="s">
        <v>1183</v>
      </c>
      <c r="G180" s="6" t="s">
        <v>1183</v>
      </c>
    </row>
    <row r="181" spans="1:7" x14ac:dyDescent="0.35">
      <c r="A181" s="5" t="s">
        <v>328</v>
      </c>
      <c r="B181" s="5" t="s">
        <v>329</v>
      </c>
      <c r="C181" s="5" t="s">
        <v>902</v>
      </c>
      <c r="D181" s="5" t="s">
        <v>903</v>
      </c>
      <c r="E181" s="5" t="s">
        <v>1185</v>
      </c>
      <c r="F181" s="5" t="s">
        <v>1183</v>
      </c>
      <c r="G181" s="5" t="s">
        <v>1185</v>
      </c>
    </row>
    <row r="182" spans="1:7" x14ac:dyDescent="0.35">
      <c r="A182" s="5" t="s">
        <v>330</v>
      </c>
      <c r="B182" s="5" t="s">
        <v>331</v>
      </c>
      <c r="C182" s="5" t="s">
        <v>904</v>
      </c>
      <c r="D182" s="5" t="s">
        <v>903</v>
      </c>
      <c r="E182" s="5" t="s">
        <v>1185</v>
      </c>
      <c r="F182" s="5" t="s">
        <v>1183</v>
      </c>
      <c r="G182" s="5" t="s">
        <v>1185</v>
      </c>
    </row>
    <row r="183" spans="1:7" x14ac:dyDescent="0.35">
      <c r="A183" s="5" t="s">
        <v>332</v>
      </c>
      <c r="B183" s="5" t="s">
        <v>333</v>
      </c>
      <c r="C183" s="5" t="s">
        <v>902</v>
      </c>
      <c r="D183" s="5" t="s">
        <v>903</v>
      </c>
      <c r="E183" s="5" t="s">
        <v>1185</v>
      </c>
      <c r="F183" s="5" t="s">
        <v>1183</v>
      </c>
      <c r="G183" s="5" t="s">
        <v>1185</v>
      </c>
    </row>
    <row r="184" spans="1:7" x14ac:dyDescent="0.35">
      <c r="A184" s="5" t="s">
        <v>334</v>
      </c>
      <c r="B184" s="5" t="s">
        <v>335</v>
      </c>
      <c r="C184" s="5" t="s">
        <v>904</v>
      </c>
      <c r="D184" s="5" t="s">
        <v>903</v>
      </c>
      <c r="E184" s="5" t="s">
        <v>1185</v>
      </c>
      <c r="F184" s="5" t="s">
        <v>1183</v>
      </c>
      <c r="G184" s="5" t="s">
        <v>1185</v>
      </c>
    </row>
    <row r="185" spans="1:7" x14ac:dyDescent="0.35">
      <c r="A185" s="5" t="s">
        <v>336</v>
      </c>
      <c r="B185" s="5" t="s">
        <v>337</v>
      </c>
      <c r="C185" s="5" t="s">
        <v>902</v>
      </c>
      <c r="D185" s="5" t="s">
        <v>903</v>
      </c>
      <c r="E185" s="5" t="s">
        <v>1185</v>
      </c>
      <c r="F185" s="5" t="s">
        <v>1183</v>
      </c>
      <c r="G185" s="5" t="s">
        <v>1185</v>
      </c>
    </row>
    <row r="186" spans="1:7" x14ac:dyDescent="0.35">
      <c r="A186" s="5" t="s">
        <v>338</v>
      </c>
      <c r="B186" s="5" t="s">
        <v>339</v>
      </c>
      <c r="C186" s="5" t="s">
        <v>904</v>
      </c>
      <c r="D186" s="5" t="s">
        <v>903</v>
      </c>
      <c r="E186" s="5" t="s">
        <v>1185</v>
      </c>
      <c r="F186" s="5" t="s">
        <v>1183</v>
      </c>
      <c r="G186" s="5" t="s">
        <v>1185</v>
      </c>
    </row>
    <row r="187" spans="1:7" x14ac:dyDescent="0.35">
      <c r="A187" s="5" t="s">
        <v>340</v>
      </c>
      <c r="B187" s="5" t="s">
        <v>341</v>
      </c>
      <c r="C187" s="5" t="s">
        <v>904</v>
      </c>
      <c r="D187" s="5" t="s">
        <v>903</v>
      </c>
      <c r="E187" s="5" t="s">
        <v>1185</v>
      </c>
      <c r="F187" s="5" t="s">
        <v>1183</v>
      </c>
      <c r="G187" s="5" t="s">
        <v>1185</v>
      </c>
    </row>
    <row r="188" spans="1:7" x14ac:dyDescent="0.35">
      <c r="A188" s="5" t="s">
        <v>342</v>
      </c>
      <c r="B188" s="5" t="s">
        <v>343</v>
      </c>
      <c r="C188" s="5" t="s">
        <v>904</v>
      </c>
      <c r="D188" s="5" t="s">
        <v>903</v>
      </c>
      <c r="E188" s="5" t="s">
        <v>1185</v>
      </c>
      <c r="F188" s="5" t="s">
        <v>1183</v>
      </c>
      <c r="G188" s="5" t="s">
        <v>1185</v>
      </c>
    </row>
    <row r="189" spans="1:7" x14ac:dyDescent="0.35">
      <c r="A189" s="5" t="s">
        <v>344</v>
      </c>
      <c r="B189" s="5" t="s">
        <v>345</v>
      </c>
      <c r="C189" s="5" t="s">
        <v>904</v>
      </c>
      <c r="D189" s="5" t="s">
        <v>903</v>
      </c>
      <c r="E189" s="5" t="s">
        <v>1185</v>
      </c>
      <c r="F189" s="5" t="s">
        <v>1183</v>
      </c>
      <c r="G189" s="5" t="s">
        <v>1185</v>
      </c>
    </row>
    <row r="190" spans="1:7" x14ac:dyDescent="0.35">
      <c r="A190" s="5" t="s">
        <v>346</v>
      </c>
      <c r="B190" s="5" t="s">
        <v>347</v>
      </c>
      <c r="C190" s="5" t="s">
        <v>904</v>
      </c>
      <c r="D190" s="5" t="s">
        <v>903</v>
      </c>
      <c r="E190" s="5" t="s">
        <v>1185</v>
      </c>
      <c r="F190" s="5" t="s">
        <v>1183</v>
      </c>
      <c r="G190" s="5" t="s">
        <v>1185</v>
      </c>
    </row>
    <row r="191" spans="1:7" x14ac:dyDescent="0.35">
      <c r="A191" s="5" t="s">
        <v>348</v>
      </c>
      <c r="B191" s="5" t="s">
        <v>349</v>
      </c>
      <c r="C191" s="5" t="s">
        <v>904</v>
      </c>
      <c r="D191" s="5" t="s">
        <v>903</v>
      </c>
      <c r="E191" s="5" t="s">
        <v>1185</v>
      </c>
      <c r="F191" s="5" t="s">
        <v>1183</v>
      </c>
      <c r="G191" s="5" t="s">
        <v>1185</v>
      </c>
    </row>
    <row r="192" spans="1:7" x14ac:dyDescent="0.35">
      <c r="A192" s="5" t="s">
        <v>350</v>
      </c>
      <c r="B192" s="5" t="s">
        <v>351</v>
      </c>
      <c r="C192" s="5" t="s">
        <v>904</v>
      </c>
      <c r="D192" s="5" t="s">
        <v>903</v>
      </c>
      <c r="E192" s="5" t="s">
        <v>1185</v>
      </c>
      <c r="F192" s="5" t="s">
        <v>1183</v>
      </c>
      <c r="G192" s="5" t="s">
        <v>1185</v>
      </c>
    </row>
    <row r="193" spans="1:7" x14ac:dyDescent="0.35">
      <c r="A193" s="5" t="s">
        <v>352</v>
      </c>
      <c r="B193" s="5" t="s">
        <v>353</v>
      </c>
      <c r="C193" s="5" t="s">
        <v>904</v>
      </c>
      <c r="D193" s="5" t="s">
        <v>903</v>
      </c>
      <c r="E193" s="5" t="s">
        <v>1185</v>
      </c>
      <c r="F193" s="5" t="s">
        <v>1183</v>
      </c>
      <c r="G193" s="5" t="s">
        <v>1185</v>
      </c>
    </row>
    <row r="194" spans="1:7" x14ac:dyDescent="0.35">
      <c r="A194" s="5" t="s">
        <v>354</v>
      </c>
      <c r="B194" s="5" t="s">
        <v>355</v>
      </c>
      <c r="C194" s="5" t="s">
        <v>905</v>
      </c>
      <c r="D194" s="5" t="s">
        <v>903</v>
      </c>
      <c r="E194" s="5" t="s">
        <v>1185</v>
      </c>
      <c r="F194" s="5" t="s">
        <v>1183</v>
      </c>
      <c r="G194" s="5" t="s">
        <v>1185</v>
      </c>
    </row>
    <row r="195" spans="1:7" x14ac:dyDescent="0.35">
      <c r="A195" s="5" t="s">
        <v>356</v>
      </c>
      <c r="B195" s="5" t="s">
        <v>1237</v>
      </c>
      <c r="C195" s="5" t="s">
        <v>904</v>
      </c>
      <c r="D195" s="5" t="s">
        <v>903</v>
      </c>
      <c r="E195" s="5" t="s">
        <v>1185</v>
      </c>
      <c r="F195" s="5" t="s">
        <v>1183</v>
      </c>
      <c r="G195" s="5" t="s">
        <v>1185</v>
      </c>
    </row>
    <row r="196" spans="1:7" x14ac:dyDescent="0.35">
      <c r="A196" s="5" t="s">
        <v>358</v>
      </c>
      <c r="B196" s="5" t="s">
        <v>1238</v>
      </c>
      <c r="C196" s="5" t="s">
        <v>904</v>
      </c>
      <c r="D196" s="5" t="s">
        <v>903</v>
      </c>
      <c r="E196" s="5" t="s">
        <v>1185</v>
      </c>
      <c r="F196" s="5" t="s">
        <v>1183</v>
      </c>
      <c r="G196" s="5" t="s">
        <v>1185</v>
      </c>
    </row>
    <row r="197" spans="1:7" x14ac:dyDescent="0.35">
      <c r="A197" s="5" t="s">
        <v>360</v>
      </c>
      <c r="B197" s="5" t="s">
        <v>1239</v>
      </c>
      <c r="C197" s="5" t="s">
        <v>904</v>
      </c>
      <c r="D197" s="5" t="s">
        <v>903</v>
      </c>
      <c r="E197" s="5" t="s">
        <v>1185</v>
      </c>
      <c r="F197" s="5" t="s">
        <v>1183</v>
      </c>
      <c r="G197" s="5" t="s">
        <v>1185</v>
      </c>
    </row>
    <row r="198" spans="1:7" x14ac:dyDescent="0.35">
      <c r="A198" s="5" t="s">
        <v>362</v>
      </c>
      <c r="B198" s="5" t="s">
        <v>363</v>
      </c>
      <c r="C198" s="5" t="s">
        <v>904</v>
      </c>
      <c r="D198" s="5" t="s">
        <v>903</v>
      </c>
      <c r="E198" s="5" t="s">
        <v>1185</v>
      </c>
      <c r="F198" s="5" t="s">
        <v>1183</v>
      </c>
      <c r="G198" s="5" t="s">
        <v>1185</v>
      </c>
    </row>
    <row r="199" spans="1:7" x14ac:dyDescent="0.35">
      <c r="A199" s="5" t="s">
        <v>364</v>
      </c>
      <c r="B199" s="5" t="s">
        <v>365</v>
      </c>
      <c r="C199" s="5" t="s">
        <v>904</v>
      </c>
      <c r="D199" s="5" t="s">
        <v>903</v>
      </c>
      <c r="E199" s="5" t="s">
        <v>1185</v>
      </c>
      <c r="F199" s="5" t="s">
        <v>1183</v>
      </c>
      <c r="G199" s="5" t="s">
        <v>1185</v>
      </c>
    </row>
    <row r="200" spans="1:7" x14ac:dyDescent="0.35">
      <c r="A200" s="5" t="s">
        <v>366</v>
      </c>
      <c r="B200" s="5" t="s">
        <v>367</v>
      </c>
      <c r="C200" s="5" t="s">
        <v>904</v>
      </c>
      <c r="D200" s="5" t="s">
        <v>903</v>
      </c>
      <c r="E200" s="5" t="s">
        <v>1185</v>
      </c>
      <c r="F200" s="5" t="s">
        <v>1183</v>
      </c>
      <c r="G200" s="5" t="s">
        <v>1185</v>
      </c>
    </row>
    <row r="201" spans="1:7" x14ac:dyDescent="0.35">
      <c r="A201" s="5" t="s">
        <v>368</v>
      </c>
      <c r="B201" s="5" t="s">
        <v>369</v>
      </c>
      <c r="C201" s="5" t="s">
        <v>904</v>
      </c>
      <c r="D201" s="5" t="s">
        <v>903</v>
      </c>
      <c r="E201" s="5" t="s">
        <v>1185</v>
      </c>
      <c r="F201" s="5" t="s">
        <v>1183</v>
      </c>
      <c r="G201" s="5" t="s">
        <v>1185</v>
      </c>
    </row>
    <row r="202" spans="1:7" x14ac:dyDescent="0.35">
      <c r="A202" s="5" t="s">
        <v>370</v>
      </c>
      <c r="B202" s="5" t="s">
        <v>371</v>
      </c>
      <c r="C202" s="5" t="s">
        <v>904</v>
      </c>
      <c r="D202" s="5" t="s">
        <v>903</v>
      </c>
      <c r="E202" s="5" t="s">
        <v>1185</v>
      </c>
      <c r="F202" s="5" t="s">
        <v>1183</v>
      </c>
      <c r="G202" s="5" t="s">
        <v>1185</v>
      </c>
    </row>
    <row r="203" spans="1:7" x14ac:dyDescent="0.35">
      <c r="A203" s="5" t="s">
        <v>372</v>
      </c>
      <c r="B203" s="5" t="s">
        <v>373</v>
      </c>
      <c r="C203" s="5" t="s">
        <v>902</v>
      </c>
      <c r="D203" s="5" t="s">
        <v>903</v>
      </c>
      <c r="E203" s="5" t="s">
        <v>1185</v>
      </c>
      <c r="F203" s="5" t="s">
        <v>1183</v>
      </c>
      <c r="G203" s="5" t="s">
        <v>1185</v>
      </c>
    </row>
    <row r="204" spans="1:7" x14ac:dyDescent="0.35">
      <c r="A204" s="5" t="s">
        <v>374</v>
      </c>
      <c r="B204" s="5" t="s">
        <v>907</v>
      </c>
      <c r="C204" s="5" t="s">
        <v>905</v>
      </c>
      <c r="D204" s="5" t="s">
        <v>903</v>
      </c>
      <c r="E204" s="5" t="s">
        <v>1185</v>
      </c>
      <c r="F204" s="5" t="s">
        <v>1183</v>
      </c>
      <c r="G204" s="5" t="s">
        <v>1185</v>
      </c>
    </row>
    <row r="205" spans="1:7" x14ac:dyDescent="0.35">
      <c r="A205" s="5" t="s">
        <v>379</v>
      </c>
      <c r="B205" s="5" t="s">
        <v>380</v>
      </c>
      <c r="C205" s="5" t="s">
        <v>905</v>
      </c>
      <c r="D205" s="5" t="s">
        <v>903</v>
      </c>
      <c r="E205" s="5" t="s">
        <v>1185</v>
      </c>
      <c r="F205" s="5" t="s">
        <v>1183</v>
      </c>
      <c r="G205" s="5" t="s">
        <v>1185</v>
      </c>
    </row>
    <row r="206" spans="1:7" x14ac:dyDescent="0.35">
      <c r="A206" s="5" t="s">
        <v>381</v>
      </c>
      <c r="B206" s="5" t="s">
        <v>382</v>
      </c>
      <c r="C206" s="5" t="s">
        <v>904</v>
      </c>
      <c r="D206" s="5" t="s">
        <v>903</v>
      </c>
      <c r="E206" s="5" t="s">
        <v>1185</v>
      </c>
      <c r="F206" s="5" t="s">
        <v>1183</v>
      </c>
      <c r="G206" s="5" t="s">
        <v>1185</v>
      </c>
    </row>
    <row r="207" spans="1:7" x14ac:dyDescent="0.35">
      <c r="A207" s="5" t="s">
        <v>383</v>
      </c>
      <c r="B207" s="5" t="s">
        <v>384</v>
      </c>
      <c r="C207" s="5" t="s">
        <v>902</v>
      </c>
      <c r="D207" s="5" t="s">
        <v>903</v>
      </c>
      <c r="E207" s="5" t="s">
        <v>1185</v>
      </c>
      <c r="F207" s="5" t="s">
        <v>1183</v>
      </c>
      <c r="G207" s="5" t="s">
        <v>1185</v>
      </c>
    </row>
    <row r="208" spans="1:7" x14ac:dyDescent="0.35">
      <c r="A208" s="5" t="s">
        <v>385</v>
      </c>
      <c r="B208" s="5" t="s">
        <v>386</v>
      </c>
      <c r="C208" s="5" t="s">
        <v>905</v>
      </c>
      <c r="D208" s="5" t="s">
        <v>903</v>
      </c>
      <c r="E208" s="5" t="s">
        <v>1185</v>
      </c>
      <c r="F208" s="5" t="s">
        <v>1183</v>
      </c>
      <c r="G208" s="5" t="s">
        <v>1185</v>
      </c>
    </row>
    <row r="209" spans="1:7" x14ac:dyDescent="0.35">
      <c r="A209" s="5" t="s">
        <v>387</v>
      </c>
      <c r="B209" s="5" t="s">
        <v>1240</v>
      </c>
      <c r="C209" s="5" t="s">
        <v>904</v>
      </c>
      <c r="D209" s="5" t="s">
        <v>903</v>
      </c>
      <c r="E209" s="5" t="s">
        <v>1183</v>
      </c>
      <c r="F209" s="5" t="s">
        <v>1183</v>
      </c>
      <c r="G209" s="5" t="s">
        <v>1185</v>
      </c>
    </row>
    <row r="210" spans="1:7" x14ac:dyDescent="0.35">
      <c r="A210" s="5" t="s">
        <v>1241</v>
      </c>
      <c r="B210" s="5" t="s">
        <v>1242</v>
      </c>
      <c r="C210" s="5" t="s">
        <v>905</v>
      </c>
      <c r="D210" s="5" t="s">
        <v>903</v>
      </c>
      <c r="E210" s="5" t="s">
        <v>1183</v>
      </c>
      <c r="F210" s="5" t="s">
        <v>1183</v>
      </c>
      <c r="G210" s="5" t="s">
        <v>1185</v>
      </c>
    </row>
    <row r="211" spans="1:7" x14ac:dyDescent="0.35">
      <c r="A211" s="5" t="s">
        <v>389</v>
      </c>
      <c r="B211" s="5" t="s">
        <v>997</v>
      </c>
      <c r="C211" s="5" t="s">
        <v>904</v>
      </c>
      <c r="D211" s="5" t="s">
        <v>903</v>
      </c>
      <c r="E211" s="5" t="s">
        <v>1183</v>
      </c>
      <c r="F211" s="5" t="s">
        <v>1183</v>
      </c>
      <c r="G211" s="5" t="s">
        <v>1185</v>
      </c>
    </row>
    <row r="212" spans="1:7" x14ac:dyDescent="0.35">
      <c r="A212" s="5" t="s">
        <v>391</v>
      </c>
      <c r="B212" s="5" t="s">
        <v>392</v>
      </c>
      <c r="C212" s="5" t="s">
        <v>904</v>
      </c>
      <c r="D212" s="5" t="s">
        <v>903</v>
      </c>
      <c r="E212" s="5" t="s">
        <v>1185</v>
      </c>
      <c r="F212" s="5" t="s">
        <v>1183</v>
      </c>
      <c r="G212" s="5" t="s">
        <v>1185</v>
      </c>
    </row>
    <row r="213" spans="1:7" x14ac:dyDescent="0.35">
      <c r="A213" s="5" t="s">
        <v>393</v>
      </c>
      <c r="B213" s="5" t="s">
        <v>394</v>
      </c>
      <c r="C213" s="5" t="s">
        <v>904</v>
      </c>
      <c r="D213" s="5" t="s">
        <v>903</v>
      </c>
      <c r="E213" s="5" t="s">
        <v>1185</v>
      </c>
      <c r="F213" s="5" t="s">
        <v>1183</v>
      </c>
      <c r="G213" s="5" t="s">
        <v>1185</v>
      </c>
    </row>
    <row r="214" spans="1:7" x14ac:dyDescent="0.35">
      <c r="A214" s="5" t="s">
        <v>395</v>
      </c>
      <c r="B214" s="5" t="s">
        <v>396</v>
      </c>
      <c r="C214" s="5" t="s">
        <v>905</v>
      </c>
      <c r="D214" s="5" t="s">
        <v>903</v>
      </c>
      <c r="E214" s="5" t="s">
        <v>1185</v>
      </c>
      <c r="F214" s="5" t="s">
        <v>1183</v>
      </c>
      <c r="G214" s="5" t="s">
        <v>1185</v>
      </c>
    </row>
    <row r="215" spans="1:7" x14ac:dyDescent="0.35">
      <c r="A215" s="5" t="s">
        <v>397</v>
      </c>
      <c r="B215" s="5" t="s">
        <v>398</v>
      </c>
      <c r="C215" s="5" t="s">
        <v>904</v>
      </c>
      <c r="D215" s="5" t="s">
        <v>903</v>
      </c>
      <c r="E215" s="5" t="s">
        <v>1185</v>
      </c>
      <c r="F215" s="5" t="s">
        <v>1183</v>
      </c>
      <c r="G215" s="5" t="s">
        <v>1185</v>
      </c>
    </row>
    <row r="216" spans="1:7" x14ac:dyDescent="0.35">
      <c r="A216" s="5" t="s">
        <v>399</v>
      </c>
      <c r="B216" s="5" t="s">
        <v>400</v>
      </c>
      <c r="C216" s="5" t="s">
        <v>910</v>
      </c>
      <c r="D216" s="5" t="s">
        <v>903</v>
      </c>
      <c r="E216" s="5" t="s">
        <v>1185</v>
      </c>
      <c r="F216" s="5" t="s">
        <v>1183</v>
      </c>
      <c r="G216" s="5" t="s">
        <v>1185</v>
      </c>
    </row>
    <row r="217" spans="1:7" x14ac:dyDescent="0.35">
      <c r="A217" s="5" t="s">
        <v>401</v>
      </c>
      <c r="B217" s="5" t="s">
        <v>402</v>
      </c>
      <c r="C217" s="5" t="s">
        <v>910</v>
      </c>
      <c r="D217" s="5" t="s">
        <v>903</v>
      </c>
      <c r="E217" s="5" t="s">
        <v>1185</v>
      </c>
      <c r="F217" s="5" t="s">
        <v>1183</v>
      </c>
      <c r="G217" s="5" t="s">
        <v>1185</v>
      </c>
    </row>
    <row r="218" spans="1:7" x14ac:dyDescent="0.35">
      <c r="A218" s="5" t="s">
        <v>403</v>
      </c>
      <c r="B218" s="5" t="s">
        <v>404</v>
      </c>
      <c r="C218" s="5" t="s">
        <v>910</v>
      </c>
      <c r="D218" s="5" t="s">
        <v>903</v>
      </c>
      <c r="E218" s="5" t="s">
        <v>1185</v>
      </c>
      <c r="F218" s="5" t="s">
        <v>1183</v>
      </c>
      <c r="G218" s="5" t="s">
        <v>1185</v>
      </c>
    </row>
    <row r="219" spans="1:7" x14ac:dyDescent="0.35">
      <c r="A219" s="5" t="s">
        <v>407</v>
      </c>
      <c r="B219" s="5" t="s">
        <v>408</v>
      </c>
      <c r="C219" s="5" t="s">
        <v>910</v>
      </c>
      <c r="D219" s="5" t="s">
        <v>903</v>
      </c>
      <c r="E219" s="5" t="s">
        <v>1185</v>
      </c>
      <c r="F219" s="5" t="s">
        <v>1183</v>
      </c>
      <c r="G219" s="5" t="s">
        <v>1185</v>
      </c>
    </row>
    <row r="220" spans="1:7" x14ac:dyDescent="0.35">
      <c r="A220" s="5" t="s">
        <v>409</v>
      </c>
      <c r="B220" s="5" t="s">
        <v>996</v>
      </c>
      <c r="C220" s="5" t="s">
        <v>910</v>
      </c>
      <c r="D220" s="5" t="s">
        <v>903</v>
      </c>
      <c r="E220" s="5" t="s">
        <v>1183</v>
      </c>
      <c r="F220" s="5" t="s">
        <v>1183</v>
      </c>
      <c r="G220" s="5" t="s">
        <v>1183</v>
      </c>
    </row>
    <row r="221" spans="1:7" x14ac:dyDescent="0.35">
      <c r="A221" s="5" t="s">
        <v>999</v>
      </c>
      <c r="B221" s="5" t="s">
        <v>997</v>
      </c>
      <c r="C221" s="5" t="s">
        <v>910</v>
      </c>
      <c r="D221" s="5" t="s">
        <v>903</v>
      </c>
      <c r="E221" s="5" t="s">
        <v>1183</v>
      </c>
      <c r="F221" s="5" t="s">
        <v>1183</v>
      </c>
      <c r="G221" s="5" t="s">
        <v>1185</v>
      </c>
    </row>
    <row r="222" spans="1:7" x14ac:dyDescent="0.35">
      <c r="A222" s="5" t="s">
        <v>1000</v>
      </c>
      <c r="B222" s="5" t="s">
        <v>1001</v>
      </c>
      <c r="C222" s="5" t="s">
        <v>910</v>
      </c>
      <c r="D222" s="5" t="s">
        <v>903</v>
      </c>
      <c r="E222" s="5" t="s">
        <v>1183</v>
      </c>
      <c r="F222" s="5" t="s">
        <v>1183</v>
      </c>
      <c r="G222" s="5" t="s">
        <v>1183</v>
      </c>
    </row>
    <row r="223" spans="1:7" x14ac:dyDescent="0.35">
      <c r="A223" s="5" t="s">
        <v>411</v>
      </c>
      <c r="B223" s="5" t="s">
        <v>412</v>
      </c>
      <c r="C223" s="5" t="s">
        <v>910</v>
      </c>
      <c r="D223" s="5" t="s">
        <v>903</v>
      </c>
      <c r="E223" s="5" t="s">
        <v>1185</v>
      </c>
      <c r="F223" s="5" t="s">
        <v>1183</v>
      </c>
      <c r="G223" s="5" t="s">
        <v>1185</v>
      </c>
    </row>
    <row r="224" spans="1:7" x14ac:dyDescent="0.35">
      <c r="A224" s="5" t="s">
        <v>1002</v>
      </c>
      <c r="B224" s="5" t="s">
        <v>1243</v>
      </c>
      <c r="C224" s="5" t="s">
        <v>911</v>
      </c>
      <c r="D224" s="5" t="s">
        <v>903</v>
      </c>
      <c r="E224" s="5" t="s">
        <v>1183</v>
      </c>
      <c r="F224" s="5" t="s">
        <v>1183</v>
      </c>
      <c r="G224" s="5" t="s">
        <v>1185</v>
      </c>
    </row>
    <row r="225" spans="1:7" x14ac:dyDescent="0.35">
      <c r="A225" s="5" t="s">
        <v>413</v>
      </c>
      <c r="B225" s="5" t="s">
        <v>414</v>
      </c>
      <c r="C225" s="5" t="s">
        <v>911</v>
      </c>
      <c r="D225" s="5" t="s">
        <v>903</v>
      </c>
      <c r="E225" s="5" t="s">
        <v>1185</v>
      </c>
      <c r="F225" s="5" t="s">
        <v>1183</v>
      </c>
      <c r="G225" s="5" t="s">
        <v>1185</v>
      </c>
    </row>
    <row r="226" spans="1:7" x14ac:dyDescent="0.35">
      <c r="A226" s="5" t="s">
        <v>415</v>
      </c>
      <c r="B226" s="5" t="s">
        <v>1244</v>
      </c>
      <c r="C226" s="5" t="s">
        <v>911</v>
      </c>
      <c r="D226" s="5" t="s">
        <v>903</v>
      </c>
      <c r="E226" s="5" t="s">
        <v>1183</v>
      </c>
      <c r="F226" s="5" t="s">
        <v>1183</v>
      </c>
      <c r="G226" s="5" t="s">
        <v>1185</v>
      </c>
    </row>
    <row r="227" spans="1:7" x14ac:dyDescent="0.35">
      <c r="A227" s="5" t="s">
        <v>419</v>
      </c>
      <c r="B227" s="5" t="s">
        <v>420</v>
      </c>
      <c r="C227" s="5" t="s">
        <v>911</v>
      </c>
      <c r="D227" s="5" t="s">
        <v>903</v>
      </c>
      <c r="E227" s="5" t="s">
        <v>1185</v>
      </c>
      <c r="F227" s="5" t="s">
        <v>1183</v>
      </c>
      <c r="G227" s="5" t="s">
        <v>1185</v>
      </c>
    </row>
    <row r="228" spans="1:7" x14ac:dyDescent="0.35">
      <c r="A228" s="5" t="s">
        <v>421</v>
      </c>
      <c r="B228" s="5" t="s">
        <v>422</v>
      </c>
      <c r="C228" s="5" t="s">
        <v>911</v>
      </c>
      <c r="D228" s="5" t="s">
        <v>903</v>
      </c>
      <c r="E228" s="5" t="s">
        <v>1185</v>
      </c>
      <c r="F228" s="5" t="s">
        <v>1183</v>
      </c>
      <c r="G228" s="5" t="s">
        <v>1185</v>
      </c>
    </row>
    <row r="229" spans="1:7" x14ac:dyDescent="0.35">
      <c r="A229" s="5" t="s">
        <v>433</v>
      </c>
      <c r="B229" s="5" t="s">
        <v>996</v>
      </c>
      <c r="C229" s="5" t="s">
        <v>911</v>
      </c>
      <c r="D229" s="5" t="s">
        <v>903</v>
      </c>
      <c r="E229" s="5" t="s">
        <v>1183</v>
      </c>
      <c r="F229" s="5" t="s">
        <v>1183</v>
      </c>
      <c r="G229" s="5" t="s">
        <v>1183</v>
      </c>
    </row>
    <row r="230" spans="1:7" x14ac:dyDescent="0.35">
      <c r="A230" s="5" t="s">
        <v>437</v>
      </c>
      <c r="B230" s="5" t="s">
        <v>438</v>
      </c>
      <c r="C230" s="5" t="s">
        <v>911</v>
      </c>
      <c r="D230" s="5" t="s">
        <v>903</v>
      </c>
      <c r="E230" s="5" t="s">
        <v>1185</v>
      </c>
      <c r="F230" s="5" t="s">
        <v>1183</v>
      </c>
      <c r="G230" s="5" t="s">
        <v>1185</v>
      </c>
    </row>
    <row r="231" spans="1:7" x14ac:dyDescent="0.35">
      <c r="A231" s="5" t="s">
        <v>1004</v>
      </c>
      <c r="B231" s="5" t="s">
        <v>997</v>
      </c>
      <c r="C231" s="5" t="s">
        <v>911</v>
      </c>
      <c r="D231" s="5" t="s">
        <v>903</v>
      </c>
      <c r="E231" s="5" t="s">
        <v>1183</v>
      </c>
      <c r="F231" s="5" t="s">
        <v>1183</v>
      </c>
      <c r="G231" s="5" t="s">
        <v>1183</v>
      </c>
    </row>
    <row r="232" spans="1:7" x14ac:dyDescent="0.35">
      <c r="A232" s="5" t="s">
        <v>441</v>
      </c>
      <c r="B232" s="5" t="s">
        <v>442</v>
      </c>
      <c r="C232" s="5" t="s">
        <v>911</v>
      </c>
      <c r="D232" s="5" t="s">
        <v>903</v>
      </c>
      <c r="E232" s="5" t="s">
        <v>1185</v>
      </c>
      <c r="F232" s="5" t="s">
        <v>1183</v>
      </c>
      <c r="G232" s="5" t="s">
        <v>1185</v>
      </c>
    </row>
    <row r="233" spans="1:7" x14ac:dyDescent="0.35">
      <c r="A233" s="5" t="s">
        <v>1005</v>
      </c>
      <c r="B233" s="5" t="s">
        <v>1006</v>
      </c>
      <c r="C233" s="5" t="s">
        <v>881</v>
      </c>
      <c r="D233" s="5" t="s">
        <v>903</v>
      </c>
      <c r="E233" s="5" t="s">
        <v>1183</v>
      </c>
      <c r="F233" s="5" t="s">
        <v>1183</v>
      </c>
      <c r="G233" s="5" t="s">
        <v>1183</v>
      </c>
    </row>
    <row r="234" spans="1:7" x14ac:dyDescent="0.35">
      <c r="A234" s="5" t="s">
        <v>443</v>
      </c>
      <c r="B234" s="5" t="s">
        <v>1245</v>
      </c>
      <c r="C234" s="5" t="s">
        <v>911</v>
      </c>
      <c r="D234" s="5" t="s">
        <v>914</v>
      </c>
      <c r="E234" s="5" t="s">
        <v>1185</v>
      </c>
      <c r="F234" s="5" t="s">
        <v>1183</v>
      </c>
      <c r="G234" s="5" t="s">
        <v>1185</v>
      </c>
    </row>
    <row r="235" spans="1:7" x14ac:dyDescent="0.35">
      <c r="A235" s="5" t="s">
        <v>447</v>
      </c>
      <c r="B235" s="5" t="s">
        <v>448</v>
      </c>
      <c r="C235" s="5" t="s">
        <v>911</v>
      </c>
      <c r="D235" s="5" t="s">
        <v>914</v>
      </c>
      <c r="E235" s="5" t="s">
        <v>1185</v>
      </c>
      <c r="F235" s="5" t="s">
        <v>1183</v>
      </c>
      <c r="G235" s="5" t="s">
        <v>1185</v>
      </c>
    </row>
    <row r="236" spans="1:7" x14ac:dyDescent="0.35">
      <c r="A236" s="5" t="s">
        <v>449</v>
      </c>
      <c r="B236" s="5" t="s">
        <v>450</v>
      </c>
      <c r="C236" s="5" t="s">
        <v>911</v>
      </c>
      <c r="D236" s="5" t="s">
        <v>914</v>
      </c>
      <c r="E236" s="5" t="s">
        <v>1185</v>
      </c>
      <c r="F236" s="5" t="s">
        <v>1183</v>
      </c>
      <c r="G236" s="5" t="s">
        <v>1185</v>
      </c>
    </row>
    <row r="237" spans="1:7" x14ac:dyDescent="0.35">
      <c r="A237" s="5" t="s">
        <v>451</v>
      </c>
      <c r="B237" s="5" t="s">
        <v>1246</v>
      </c>
      <c r="C237" s="5" t="s">
        <v>911</v>
      </c>
      <c r="D237" s="5" t="s">
        <v>914</v>
      </c>
      <c r="E237" s="5" t="s">
        <v>1185</v>
      </c>
      <c r="F237" s="5" t="s">
        <v>1183</v>
      </c>
      <c r="G237" s="5" t="s">
        <v>1185</v>
      </c>
    </row>
    <row r="238" spans="1:7" x14ac:dyDescent="0.35">
      <c r="A238" s="5" t="s">
        <v>1008</v>
      </c>
      <c r="B238" s="5" t="s">
        <v>1009</v>
      </c>
      <c r="C238" s="5" t="s">
        <v>911</v>
      </c>
      <c r="D238" s="5" t="s">
        <v>914</v>
      </c>
      <c r="E238" s="5" t="s">
        <v>1183</v>
      </c>
      <c r="F238" s="5" t="s">
        <v>1183</v>
      </c>
      <c r="G238" s="5" t="s">
        <v>1183</v>
      </c>
    </row>
    <row r="239" spans="1:7" x14ac:dyDescent="0.35">
      <c r="A239" s="5" t="s">
        <v>458</v>
      </c>
      <c r="B239" s="5" t="s">
        <v>459</v>
      </c>
      <c r="C239" s="5" t="s">
        <v>911</v>
      </c>
      <c r="D239" s="5" t="s">
        <v>914</v>
      </c>
      <c r="E239" s="5" t="s">
        <v>1185</v>
      </c>
      <c r="F239" s="5" t="s">
        <v>1183</v>
      </c>
      <c r="G239" s="5" t="s">
        <v>1185</v>
      </c>
    </row>
    <row r="240" spans="1:7" x14ac:dyDescent="0.35">
      <c r="A240" s="5" t="s">
        <v>460</v>
      </c>
      <c r="B240" s="5" t="s">
        <v>1247</v>
      </c>
      <c r="C240" s="5" t="s">
        <v>911</v>
      </c>
      <c r="D240" s="5" t="s">
        <v>914</v>
      </c>
      <c r="E240" s="5" t="s">
        <v>1185</v>
      </c>
      <c r="F240" s="5" t="s">
        <v>1183</v>
      </c>
      <c r="G240" s="5" t="s">
        <v>1185</v>
      </c>
    </row>
    <row r="241" spans="1:7" x14ac:dyDescent="0.35">
      <c r="A241" s="5" t="s">
        <v>462</v>
      </c>
      <c r="B241" s="5" t="s">
        <v>463</v>
      </c>
      <c r="C241" s="5" t="s">
        <v>911</v>
      </c>
      <c r="D241" s="5" t="s">
        <v>914</v>
      </c>
      <c r="E241" s="5" t="s">
        <v>1185</v>
      </c>
      <c r="F241" s="5" t="s">
        <v>1183</v>
      </c>
      <c r="G241" s="5" t="s">
        <v>1185</v>
      </c>
    </row>
    <row r="242" spans="1:7" x14ac:dyDescent="0.35">
      <c r="A242" s="5" t="s">
        <v>1010</v>
      </c>
      <c r="B242" s="5" t="s">
        <v>1011</v>
      </c>
      <c r="C242" s="5" t="s">
        <v>881</v>
      </c>
      <c r="D242" s="5" t="s">
        <v>903</v>
      </c>
      <c r="E242" s="5" t="s">
        <v>1183</v>
      </c>
      <c r="F242" s="5" t="s">
        <v>1183</v>
      </c>
      <c r="G242" s="5" t="s">
        <v>1183</v>
      </c>
    </row>
    <row r="243" spans="1:7" x14ac:dyDescent="0.35">
      <c r="A243" s="5" t="s">
        <v>1012</v>
      </c>
      <c r="B243" s="5" t="s">
        <v>1013</v>
      </c>
      <c r="C243" s="5" t="s">
        <v>881</v>
      </c>
      <c r="D243" s="5" t="s">
        <v>903</v>
      </c>
      <c r="E243" s="5" t="s">
        <v>1183</v>
      </c>
      <c r="F243" s="5" t="s">
        <v>1183</v>
      </c>
      <c r="G243" s="5" t="s">
        <v>1183</v>
      </c>
    </row>
    <row r="244" spans="1:7" x14ac:dyDescent="0.35">
      <c r="A244" s="5" t="s">
        <v>464</v>
      </c>
      <c r="B244" s="5" t="s">
        <v>1014</v>
      </c>
      <c r="C244" s="5" t="s">
        <v>881</v>
      </c>
      <c r="D244" s="5" t="s">
        <v>903</v>
      </c>
      <c r="E244" s="5" t="s">
        <v>1183</v>
      </c>
      <c r="F244" s="5" t="s">
        <v>1183</v>
      </c>
      <c r="G244" s="5" t="s">
        <v>1183</v>
      </c>
    </row>
    <row r="245" spans="1:7" x14ac:dyDescent="0.35">
      <c r="A245" s="5" t="s">
        <v>466</v>
      </c>
      <c r="B245" s="5" t="s">
        <v>467</v>
      </c>
      <c r="C245" s="5" t="s">
        <v>911</v>
      </c>
      <c r="D245" s="5" t="s">
        <v>914</v>
      </c>
      <c r="E245" s="5" t="s">
        <v>1185</v>
      </c>
      <c r="F245" s="5" t="s">
        <v>1183</v>
      </c>
      <c r="G245" s="5" t="s">
        <v>1185</v>
      </c>
    </row>
    <row r="246" spans="1:7" x14ac:dyDescent="0.35">
      <c r="A246" s="5" t="s">
        <v>468</v>
      </c>
      <c r="B246" s="5" t="s">
        <v>469</v>
      </c>
      <c r="C246" s="5" t="s">
        <v>905</v>
      </c>
      <c r="D246" s="5" t="s">
        <v>914</v>
      </c>
      <c r="E246" s="5" t="s">
        <v>1185</v>
      </c>
      <c r="F246" s="5" t="s">
        <v>1183</v>
      </c>
      <c r="G246" s="5" t="s">
        <v>1185</v>
      </c>
    </row>
    <row r="247" spans="1:7" x14ac:dyDescent="0.35">
      <c r="A247" s="5" t="s">
        <v>470</v>
      </c>
      <c r="B247" s="5" t="s">
        <v>471</v>
      </c>
      <c r="C247" s="5" t="s">
        <v>904</v>
      </c>
      <c r="D247" s="5" t="s">
        <v>914</v>
      </c>
      <c r="E247" s="5" t="s">
        <v>1185</v>
      </c>
      <c r="F247" s="5" t="s">
        <v>1183</v>
      </c>
      <c r="G247" s="5" t="s">
        <v>1185</v>
      </c>
    </row>
    <row r="248" spans="1:7" x14ac:dyDescent="0.35">
      <c r="A248" s="5" t="s">
        <v>472</v>
      </c>
      <c r="B248" s="5" t="s">
        <v>473</v>
      </c>
      <c r="C248" s="5" t="s">
        <v>911</v>
      </c>
      <c r="D248" s="5" t="s">
        <v>914</v>
      </c>
      <c r="E248" s="5" t="s">
        <v>1185</v>
      </c>
      <c r="F248" s="5" t="s">
        <v>1183</v>
      </c>
      <c r="G248" s="5" t="s">
        <v>1185</v>
      </c>
    </row>
    <row r="249" spans="1:7" x14ac:dyDescent="0.35">
      <c r="A249" s="5" t="s">
        <v>474</v>
      </c>
      <c r="B249" s="5" t="s">
        <v>1016</v>
      </c>
      <c r="C249" s="5" t="s">
        <v>881</v>
      </c>
      <c r="D249" s="5" t="s">
        <v>914</v>
      </c>
      <c r="E249" s="5" t="s">
        <v>1183</v>
      </c>
      <c r="F249" s="5" t="s">
        <v>1183</v>
      </c>
      <c r="G249" s="5" t="s">
        <v>1183</v>
      </c>
    </row>
    <row r="250" spans="1:7" x14ac:dyDescent="0.35">
      <c r="A250" s="5" t="s">
        <v>476</v>
      </c>
      <c r="B250" s="5" t="s">
        <v>1017</v>
      </c>
      <c r="C250" s="5" t="s">
        <v>881</v>
      </c>
      <c r="D250" s="5" t="s">
        <v>914</v>
      </c>
      <c r="E250" s="5" t="s">
        <v>1183</v>
      </c>
      <c r="F250" s="5" t="s">
        <v>1183</v>
      </c>
      <c r="G250" s="5" t="s">
        <v>1183</v>
      </c>
    </row>
    <row r="251" spans="1:7" x14ac:dyDescent="0.35">
      <c r="A251" s="5" t="s">
        <v>478</v>
      </c>
      <c r="B251" s="5" t="s">
        <v>479</v>
      </c>
      <c r="C251" s="5" t="s">
        <v>911</v>
      </c>
      <c r="D251" s="5" t="s">
        <v>914</v>
      </c>
      <c r="E251" s="5" t="s">
        <v>1185</v>
      </c>
      <c r="F251" s="5" t="s">
        <v>1183</v>
      </c>
      <c r="G251" s="5" t="s">
        <v>1185</v>
      </c>
    </row>
    <row r="252" spans="1:7" x14ac:dyDescent="0.35">
      <c r="A252" s="5" t="s">
        <v>480</v>
      </c>
      <c r="B252" s="5" t="s">
        <v>481</v>
      </c>
      <c r="C252" s="5" t="s">
        <v>910</v>
      </c>
      <c r="D252" s="5" t="s">
        <v>914</v>
      </c>
      <c r="E252" s="5" t="s">
        <v>1185</v>
      </c>
      <c r="F252" s="5" t="s">
        <v>1183</v>
      </c>
      <c r="G252" s="5" t="s">
        <v>1185</v>
      </c>
    </row>
    <row r="253" spans="1:7" x14ac:dyDescent="0.35">
      <c r="A253" s="5" t="s">
        <v>482</v>
      </c>
      <c r="B253" s="5" t="s">
        <v>483</v>
      </c>
      <c r="C253" s="5" t="s">
        <v>911</v>
      </c>
      <c r="D253" s="5" t="s">
        <v>914</v>
      </c>
      <c r="E253" s="5" t="s">
        <v>1185</v>
      </c>
      <c r="F253" s="5" t="s">
        <v>1183</v>
      </c>
      <c r="G253" s="5" t="s">
        <v>1185</v>
      </c>
    </row>
    <row r="254" spans="1:7" x14ac:dyDescent="0.35">
      <c r="A254" s="5" t="s">
        <v>1020</v>
      </c>
      <c r="B254" s="5" t="s">
        <v>1021</v>
      </c>
      <c r="C254" s="5" t="s">
        <v>881</v>
      </c>
      <c r="D254" s="5" t="s">
        <v>914</v>
      </c>
      <c r="E254" s="5" t="s">
        <v>1183</v>
      </c>
      <c r="F254" s="5" t="s">
        <v>1183</v>
      </c>
      <c r="G254" s="5" t="s">
        <v>1183</v>
      </c>
    </row>
    <row r="255" spans="1:7" x14ac:dyDescent="0.35">
      <c r="A255" s="5" t="s">
        <v>1022</v>
      </c>
      <c r="B255" s="5" t="s">
        <v>1023</v>
      </c>
      <c r="C255" s="5" t="s">
        <v>881</v>
      </c>
      <c r="D255" s="5" t="s">
        <v>914</v>
      </c>
      <c r="E255" s="5" t="s">
        <v>1183</v>
      </c>
      <c r="F255" s="5" t="s">
        <v>1183</v>
      </c>
      <c r="G255" s="5" t="s">
        <v>1183</v>
      </c>
    </row>
    <row r="256" spans="1:7" x14ac:dyDescent="0.35">
      <c r="A256" s="5" t="s">
        <v>484</v>
      </c>
      <c r="B256" s="5" t="s">
        <v>1248</v>
      </c>
      <c r="C256" s="5" t="s">
        <v>911</v>
      </c>
      <c r="D256" s="5" t="s">
        <v>914</v>
      </c>
      <c r="E256" s="5" t="s">
        <v>1185</v>
      </c>
      <c r="F256" s="5" t="s">
        <v>1183</v>
      </c>
      <c r="G256" s="5" t="s">
        <v>1185</v>
      </c>
    </row>
    <row r="257" spans="1:7" x14ac:dyDescent="0.35">
      <c r="A257" s="5" t="s">
        <v>486</v>
      </c>
      <c r="B257" s="5" t="s">
        <v>487</v>
      </c>
      <c r="C257" s="5" t="s">
        <v>911</v>
      </c>
      <c r="D257" s="5" t="s">
        <v>914</v>
      </c>
      <c r="E257" s="5" t="s">
        <v>1185</v>
      </c>
      <c r="F257" s="5" t="s">
        <v>1183</v>
      </c>
      <c r="G257" s="5" t="s">
        <v>1185</v>
      </c>
    </row>
    <row r="258" spans="1:7" x14ac:dyDescent="0.35">
      <c r="A258" s="5" t="s">
        <v>488</v>
      </c>
      <c r="B258" s="5" t="s">
        <v>489</v>
      </c>
      <c r="C258" s="5" t="s">
        <v>910</v>
      </c>
      <c r="D258" s="5" t="s">
        <v>914</v>
      </c>
      <c r="E258" s="5" t="s">
        <v>1185</v>
      </c>
      <c r="F258" s="5" t="s">
        <v>1183</v>
      </c>
      <c r="G258" s="5" t="s">
        <v>1185</v>
      </c>
    </row>
    <row r="259" spans="1:7" x14ac:dyDescent="0.35">
      <c r="A259" s="5" t="s">
        <v>490</v>
      </c>
      <c r="B259" s="5" t="s">
        <v>1249</v>
      </c>
      <c r="C259" s="5" t="s">
        <v>904</v>
      </c>
      <c r="D259" s="5" t="s">
        <v>914</v>
      </c>
      <c r="E259" s="5" t="s">
        <v>1185</v>
      </c>
      <c r="F259" s="5" t="s">
        <v>1183</v>
      </c>
      <c r="G259" s="5" t="s">
        <v>1185</v>
      </c>
    </row>
    <row r="260" spans="1:7" x14ac:dyDescent="0.35">
      <c r="A260" s="5" t="s">
        <v>494</v>
      </c>
      <c r="B260" s="5" t="s">
        <v>495</v>
      </c>
      <c r="C260" s="5" t="s">
        <v>911</v>
      </c>
      <c r="D260" s="5" t="s">
        <v>914</v>
      </c>
      <c r="E260" s="5" t="s">
        <v>1185</v>
      </c>
      <c r="F260" s="5" t="s">
        <v>1183</v>
      </c>
      <c r="G260" s="5" t="s">
        <v>1185</v>
      </c>
    </row>
    <row r="261" spans="1:7" x14ac:dyDescent="0.35">
      <c r="A261" s="5" t="s">
        <v>496</v>
      </c>
      <c r="B261" s="5" t="s">
        <v>497</v>
      </c>
      <c r="C261" s="5" t="s">
        <v>904</v>
      </c>
      <c r="D261" s="5" t="s">
        <v>914</v>
      </c>
      <c r="E261" s="5" t="s">
        <v>1185</v>
      </c>
      <c r="F261" s="5" t="s">
        <v>1183</v>
      </c>
      <c r="G261" s="5" t="s">
        <v>1185</v>
      </c>
    </row>
    <row r="262" spans="1:7" x14ac:dyDescent="0.35">
      <c r="A262" s="5" t="s">
        <v>498</v>
      </c>
      <c r="B262" s="5" t="s">
        <v>499</v>
      </c>
      <c r="C262" s="5" t="s">
        <v>902</v>
      </c>
      <c r="D262" s="5" t="s">
        <v>914</v>
      </c>
      <c r="E262" s="5" t="s">
        <v>1185</v>
      </c>
      <c r="F262" s="5" t="s">
        <v>1183</v>
      </c>
      <c r="G262" s="5" t="s">
        <v>1185</v>
      </c>
    </row>
    <row r="263" spans="1:7" x14ac:dyDescent="0.35">
      <c r="A263" s="5" t="s">
        <v>500</v>
      </c>
      <c r="B263" s="5" t="s">
        <v>501</v>
      </c>
      <c r="C263" s="5" t="s">
        <v>905</v>
      </c>
      <c r="D263" s="5" t="s">
        <v>914</v>
      </c>
      <c r="E263" s="5" t="s">
        <v>1185</v>
      </c>
      <c r="F263" s="5" t="s">
        <v>1183</v>
      </c>
      <c r="G263" s="5" t="s">
        <v>1185</v>
      </c>
    </row>
    <row r="264" spans="1:7" x14ac:dyDescent="0.35">
      <c r="A264" s="5" t="s">
        <v>502</v>
      </c>
      <c r="B264" s="5" t="s">
        <v>503</v>
      </c>
      <c r="C264" s="5" t="s">
        <v>911</v>
      </c>
      <c r="D264" s="5" t="s">
        <v>914</v>
      </c>
      <c r="E264" s="5" t="s">
        <v>1185</v>
      </c>
      <c r="F264" s="5" t="s">
        <v>1183</v>
      </c>
      <c r="G264" s="5" t="s">
        <v>1185</v>
      </c>
    </row>
    <row r="265" spans="1:7" x14ac:dyDescent="0.35">
      <c r="A265" s="7" t="s">
        <v>1025</v>
      </c>
      <c r="B265" s="7" t="s">
        <v>1026</v>
      </c>
      <c r="C265" s="7" t="s">
        <v>884</v>
      </c>
      <c r="D265" s="7" t="s">
        <v>920</v>
      </c>
      <c r="E265" s="7" t="s">
        <v>1183</v>
      </c>
      <c r="F265" s="7" t="s">
        <v>1183</v>
      </c>
      <c r="G265" s="7" t="s">
        <v>1183</v>
      </c>
    </row>
    <row r="266" spans="1:7" x14ac:dyDescent="0.35">
      <c r="A266" s="7" t="s">
        <v>504</v>
      </c>
      <c r="B266" s="7" t="s">
        <v>1250</v>
      </c>
      <c r="C266" s="7" t="s">
        <v>919</v>
      </c>
      <c r="D266" s="7" t="s">
        <v>920</v>
      </c>
      <c r="E266" s="7" t="s">
        <v>1185</v>
      </c>
      <c r="F266" s="7" t="s">
        <v>1183</v>
      </c>
      <c r="G266" s="7" t="s">
        <v>1185</v>
      </c>
    </row>
    <row r="267" spans="1:7" x14ac:dyDescent="0.35">
      <c r="A267" s="7" t="s">
        <v>506</v>
      </c>
      <c r="B267" s="7" t="s">
        <v>507</v>
      </c>
      <c r="C267" s="7" t="s">
        <v>919</v>
      </c>
      <c r="D267" s="7" t="s">
        <v>920</v>
      </c>
      <c r="E267" s="7" t="s">
        <v>1185</v>
      </c>
      <c r="F267" s="7" t="s">
        <v>1183</v>
      </c>
      <c r="G267" s="7" t="s">
        <v>1185</v>
      </c>
    </row>
    <row r="268" spans="1:7" x14ac:dyDescent="0.35">
      <c r="A268" s="7" t="s">
        <v>508</v>
      </c>
      <c r="B268" s="7" t="s">
        <v>335</v>
      </c>
      <c r="C268" s="7" t="s">
        <v>884</v>
      </c>
      <c r="D268" s="7" t="s">
        <v>920</v>
      </c>
      <c r="E268" s="7" t="s">
        <v>1185</v>
      </c>
      <c r="F268" s="7" t="s">
        <v>1183</v>
      </c>
      <c r="G268" s="7" t="s">
        <v>1185</v>
      </c>
    </row>
    <row r="269" spans="1:7" x14ac:dyDescent="0.35">
      <c r="A269" s="7" t="s">
        <v>509</v>
      </c>
      <c r="B269" s="7" t="s">
        <v>337</v>
      </c>
      <c r="C269" s="7" t="s">
        <v>919</v>
      </c>
      <c r="D269" s="7" t="s">
        <v>920</v>
      </c>
      <c r="E269" s="7" t="s">
        <v>1185</v>
      </c>
      <c r="F269" s="7" t="s">
        <v>1183</v>
      </c>
      <c r="G269" s="7" t="s">
        <v>1185</v>
      </c>
    </row>
    <row r="270" spans="1:7" x14ac:dyDescent="0.35">
      <c r="A270" s="7" t="s">
        <v>510</v>
      </c>
      <c r="B270" s="7" t="s">
        <v>341</v>
      </c>
      <c r="C270" s="7" t="s">
        <v>884</v>
      </c>
      <c r="D270" s="7" t="s">
        <v>920</v>
      </c>
      <c r="E270" s="7" t="s">
        <v>1185</v>
      </c>
      <c r="F270" s="7" t="s">
        <v>1183</v>
      </c>
      <c r="G270" s="7" t="s">
        <v>1185</v>
      </c>
    </row>
    <row r="271" spans="1:7" x14ac:dyDescent="0.35">
      <c r="A271" s="7" t="s">
        <v>511</v>
      </c>
      <c r="B271" s="7" t="s">
        <v>345</v>
      </c>
      <c r="C271" s="7" t="s">
        <v>884</v>
      </c>
      <c r="D271" s="7" t="s">
        <v>920</v>
      </c>
      <c r="E271" s="7" t="s">
        <v>1185</v>
      </c>
      <c r="F271" s="7" t="s">
        <v>1183</v>
      </c>
      <c r="G271" s="7" t="s">
        <v>1185</v>
      </c>
    </row>
    <row r="272" spans="1:7" x14ac:dyDescent="0.35">
      <c r="A272" s="7" t="s">
        <v>512</v>
      </c>
      <c r="B272" s="7" t="s">
        <v>347</v>
      </c>
      <c r="C272" s="7" t="s">
        <v>884</v>
      </c>
      <c r="D272" s="7" t="s">
        <v>920</v>
      </c>
      <c r="E272" s="7" t="s">
        <v>1185</v>
      </c>
      <c r="F272" s="7" t="s">
        <v>1183</v>
      </c>
      <c r="G272" s="7" t="s">
        <v>1185</v>
      </c>
    </row>
    <row r="273" spans="1:7" x14ac:dyDescent="0.35">
      <c r="A273" s="7" t="s">
        <v>513</v>
      </c>
      <c r="B273" s="7" t="s">
        <v>349</v>
      </c>
      <c r="C273" s="7" t="s">
        <v>884</v>
      </c>
      <c r="D273" s="7" t="s">
        <v>920</v>
      </c>
      <c r="E273" s="7" t="s">
        <v>1185</v>
      </c>
      <c r="F273" s="7" t="s">
        <v>1183</v>
      </c>
      <c r="G273" s="7" t="s">
        <v>1185</v>
      </c>
    </row>
    <row r="274" spans="1:7" x14ac:dyDescent="0.35">
      <c r="A274" s="7" t="s">
        <v>514</v>
      </c>
      <c r="B274" s="7" t="s">
        <v>515</v>
      </c>
      <c r="C274" s="7" t="s">
        <v>884</v>
      </c>
      <c r="D274" s="7" t="s">
        <v>920</v>
      </c>
      <c r="E274" s="7" t="s">
        <v>1185</v>
      </c>
      <c r="F274" s="7" t="s">
        <v>1183</v>
      </c>
      <c r="G274" s="7" t="s">
        <v>1185</v>
      </c>
    </row>
    <row r="275" spans="1:7" x14ac:dyDescent="0.35">
      <c r="A275" s="7" t="s">
        <v>516</v>
      </c>
      <c r="B275" s="7" t="s">
        <v>1251</v>
      </c>
      <c r="C275" s="7" t="s">
        <v>884</v>
      </c>
      <c r="D275" s="7" t="s">
        <v>920</v>
      </c>
      <c r="E275" s="7" t="s">
        <v>1185</v>
      </c>
      <c r="F275" s="7" t="s">
        <v>1183</v>
      </c>
      <c r="G275" s="7" t="s">
        <v>1185</v>
      </c>
    </row>
    <row r="276" spans="1:7" x14ac:dyDescent="0.35">
      <c r="A276" s="7" t="s">
        <v>518</v>
      </c>
      <c r="B276" s="7" t="s">
        <v>519</v>
      </c>
      <c r="C276" s="7" t="s">
        <v>884</v>
      </c>
      <c r="D276" s="7" t="s">
        <v>920</v>
      </c>
      <c r="E276" s="7" t="s">
        <v>1185</v>
      </c>
      <c r="F276" s="7" t="s">
        <v>1183</v>
      </c>
      <c r="G276" s="7" t="s">
        <v>1185</v>
      </c>
    </row>
    <row r="277" spans="1:7" x14ac:dyDescent="0.35">
      <c r="A277" s="7" t="s">
        <v>520</v>
      </c>
      <c r="B277" s="7" t="s">
        <v>1252</v>
      </c>
      <c r="C277" s="7" t="s">
        <v>884</v>
      </c>
      <c r="D277" s="7" t="s">
        <v>920</v>
      </c>
      <c r="E277" s="7" t="s">
        <v>1185</v>
      </c>
      <c r="F277" s="7" t="s">
        <v>1183</v>
      </c>
      <c r="G277" s="7" t="s">
        <v>1185</v>
      </c>
    </row>
    <row r="278" spans="1:7" x14ac:dyDescent="0.35">
      <c r="A278" s="7" t="s">
        <v>522</v>
      </c>
      <c r="B278" s="7" t="s">
        <v>365</v>
      </c>
      <c r="C278" s="7" t="s">
        <v>884</v>
      </c>
      <c r="D278" s="7" t="s">
        <v>920</v>
      </c>
      <c r="E278" s="7" t="s">
        <v>1185</v>
      </c>
      <c r="F278" s="7" t="s">
        <v>1183</v>
      </c>
      <c r="G278" s="7" t="s">
        <v>1185</v>
      </c>
    </row>
    <row r="279" spans="1:7" x14ac:dyDescent="0.35">
      <c r="A279" s="7" t="s">
        <v>523</v>
      </c>
      <c r="B279" s="7" t="s">
        <v>524</v>
      </c>
      <c r="C279" s="7" t="s">
        <v>884</v>
      </c>
      <c r="D279" s="7" t="s">
        <v>920</v>
      </c>
      <c r="E279" s="7" t="s">
        <v>1185</v>
      </c>
      <c r="F279" s="7" t="s">
        <v>1183</v>
      </c>
      <c r="G279" s="7" t="s">
        <v>1185</v>
      </c>
    </row>
    <row r="280" spans="1:7" x14ac:dyDescent="0.35">
      <c r="A280" s="7" t="s">
        <v>525</v>
      </c>
      <c r="B280" s="7" t="s">
        <v>1027</v>
      </c>
      <c r="C280" s="7" t="s">
        <v>884</v>
      </c>
      <c r="D280" s="7" t="s">
        <v>920</v>
      </c>
      <c r="E280" s="7" t="s">
        <v>1183</v>
      </c>
      <c r="F280" s="7" t="s">
        <v>1183</v>
      </c>
      <c r="G280" s="7" t="s">
        <v>1183</v>
      </c>
    </row>
    <row r="281" spans="1:7" x14ac:dyDescent="0.35">
      <c r="A281" s="7" t="s">
        <v>1028</v>
      </c>
      <c r="B281" s="7" t="s">
        <v>1029</v>
      </c>
      <c r="C281" s="7" t="s">
        <v>884</v>
      </c>
      <c r="D281" s="7" t="s">
        <v>920</v>
      </c>
      <c r="E281" s="7" t="s">
        <v>1183</v>
      </c>
      <c r="F281" s="7" t="s">
        <v>1183</v>
      </c>
      <c r="G281" s="7" t="s">
        <v>1183</v>
      </c>
    </row>
    <row r="282" spans="1:7" x14ac:dyDescent="0.35">
      <c r="A282" s="7" t="s">
        <v>1030</v>
      </c>
      <c r="B282" s="7" t="s">
        <v>577</v>
      </c>
      <c r="C282" s="7" t="s">
        <v>881</v>
      </c>
      <c r="D282" s="7" t="s">
        <v>920</v>
      </c>
      <c r="E282" s="7" t="s">
        <v>1183</v>
      </c>
      <c r="F282" s="7" t="s">
        <v>1183</v>
      </c>
      <c r="G282" s="7" t="s">
        <v>1183</v>
      </c>
    </row>
    <row r="283" spans="1:7" x14ac:dyDescent="0.35">
      <c r="A283" s="7" t="s">
        <v>527</v>
      </c>
      <c r="B283" s="7" t="s">
        <v>528</v>
      </c>
      <c r="C283" s="7" t="s">
        <v>884</v>
      </c>
      <c r="D283" s="7" t="s">
        <v>920</v>
      </c>
      <c r="E283" s="7" t="s">
        <v>1185</v>
      </c>
      <c r="F283" s="7" t="s">
        <v>1183</v>
      </c>
      <c r="G283" s="7" t="s">
        <v>1185</v>
      </c>
    </row>
    <row r="284" spans="1:7" x14ac:dyDescent="0.35">
      <c r="A284" s="7" t="s">
        <v>529</v>
      </c>
      <c r="B284" s="7" t="s">
        <v>530</v>
      </c>
      <c r="C284" s="7" t="s">
        <v>881</v>
      </c>
      <c r="D284" s="7" t="s">
        <v>920</v>
      </c>
      <c r="E284" s="7" t="s">
        <v>1185</v>
      </c>
      <c r="F284" s="7" t="s">
        <v>1183</v>
      </c>
      <c r="G284" s="7" t="s">
        <v>1185</v>
      </c>
    </row>
    <row r="285" spans="1:7" x14ac:dyDescent="0.35">
      <c r="A285" s="7" t="s">
        <v>531</v>
      </c>
      <c r="B285" s="7" t="s">
        <v>400</v>
      </c>
      <c r="C285" s="7" t="s">
        <v>881</v>
      </c>
      <c r="D285" s="7" t="s">
        <v>920</v>
      </c>
      <c r="E285" s="7" t="s">
        <v>1185</v>
      </c>
      <c r="F285" s="7" t="s">
        <v>1183</v>
      </c>
      <c r="G285" s="7" t="s">
        <v>1185</v>
      </c>
    </row>
    <row r="286" spans="1:7" x14ac:dyDescent="0.35">
      <c r="A286" s="7" t="s">
        <v>1032</v>
      </c>
      <c r="B286" s="7" t="s">
        <v>1027</v>
      </c>
      <c r="C286" s="7" t="s">
        <v>884</v>
      </c>
      <c r="D286" s="7" t="s">
        <v>920</v>
      </c>
      <c r="E286" s="7" t="s">
        <v>1183</v>
      </c>
      <c r="F286" s="7" t="s">
        <v>1183</v>
      </c>
      <c r="G286" s="7" t="s">
        <v>1183</v>
      </c>
    </row>
    <row r="287" spans="1:7" x14ac:dyDescent="0.35">
      <c r="A287" s="7" t="s">
        <v>1033</v>
      </c>
      <c r="B287" s="7" t="s">
        <v>1029</v>
      </c>
      <c r="C287" s="7" t="s">
        <v>884</v>
      </c>
      <c r="D287" s="7" t="s">
        <v>920</v>
      </c>
      <c r="E287" s="7" t="s">
        <v>1183</v>
      </c>
      <c r="F287" s="7" t="s">
        <v>1183</v>
      </c>
      <c r="G287" s="7" t="s">
        <v>1183</v>
      </c>
    </row>
    <row r="288" spans="1:7" x14ac:dyDescent="0.35">
      <c r="A288" s="7" t="s">
        <v>1034</v>
      </c>
      <c r="B288" s="7" t="s">
        <v>577</v>
      </c>
      <c r="C288" s="7" t="s">
        <v>881</v>
      </c>
      <c r="D288" s="7" t="s">
        <v>1035</v>
      </c>
      <c r="E288" s="7" t="s">
        <v>1183</v>
      </c>
      <c r="F288" s="7" t="s">
        <v>1183</v>
      </c>
      <c r="G288" s="7" t="s">
        <v>1183</v>
      </c>
    </row>
    <row r="289" spans="1:7" x14ac:dyDescent="0.35">
      <c r="A289" s="7" t="s">
        <v>533</v>
      </c>
      <c r="B289" s="7" t="s">
        <v>534</v>
      </c>
      <c r="C289" s="7" t="s">
        <v>884</v>
      </c>
      <c r="D289" s="7" t="s">
        <v>920</v>
      </c>
      <c r="E289" s="7" t="s">
        <v>1183</v>
      </c>
      <c r="F289" s="7" t="s">
        <v>1183</v>
      </c>
      <c r="G289" s="7" t="s">
        <v>1183</v>
      </c>
    </row>
    <row r="290" spans="1:7" x14ac:dyDescent="0.35">
      <c r="A290" s="7" t="s">
        <v>535</v>
      </c>
      <c r="B290" s="7" t="s">
        <v>536</v>
      </c>
      <c r="C290" s="7" t="s">
        <v>881</v>
      </c>
      <c r="D290" s="7" t="s">
        <v>920</v>
      </c>
      <c r="E290" s="7" t="s">
        <v>1185</v>
      </c>
      <c r="F290" s="7" t="s">
        <v>1183</v>
      </c>
      <c r="G290" s="7" t="s">
        <v>1185</v>
      </c>
    </row>
    <row r="291" spans="1:7" x14ac:dyDescent="0.35">
      <c r="A291" s="7" t="s">
        <v>537</v>
      </c>
      <c r="B291" s="7" t="s">
        <v>538</v>
      </c>
      <c r="C291" s="7" t="s">
        <v>922</v>
      </c>
      <c r="D291" s="7" t="s">
        <v>920</v>
      </c>
      <c r="E291" s="7" t="s">
        <v>1185</v>
      </c>
      <c r="F291" s="7" t="s">
        <v>1183</v>
      </c>
      <c r="G291" s="7" t="s">
        <v>1185</v>
      </c>
    </row>
    <row r="292" spans="1:7" x14ac:dyDescent="0.35">
      <c r="A292" s="7" t="s">
        <v>539</v>
      </c>
      <c r="B292" s="7" t="s">
        <v>540</v>
      </c>
      <c r="C292" s="7" t="s">
        <v>919</v>
      </c>
      <c r="D292" s="7" t="s">
        <v>920</v>
      </c>
      <c r="E292" s="7" t="s">
        <v>1185</v>
      </c>
      <c r="F292" s="7" t="s">
        <v>1183</v>
      </c>
      <c r="G292" s="7" t="s">
        <v>1185</v>
      </c>
    </row>
    <row r="293" spans="1:7" x14ac:dyDescent="0.35">
      <c r="A293" s="7" t="s">
        <v>541</v>
      </c>
      <c r="B293" s="7" t="s">
        <v>542</v>
      </c>
      <c r="C293" s="7" t="s">
        <v>884</v>
      </c>
      <c r="D293" s="7" t="s">
        <v>920</v>
      </c>
      <c r="E293" s="7" t="s">
        <v>1185</v>
      </c>
      <c r="F293" s="7" t="s">
        <v>1183</v>
      </c>
      <c r="G293" s="7" t="s">
        <v>1185</v>
      </c>
    </row>
    <row r="294" spans="1:7" x14ac:dyDescent="0.35">
      <c r="A294" s="7" t="s">
        <v>543</v>
      </c>
      <c r="B294" s="7" t="s">
        <v>544</v>
      </c>
      <c r="C294" s="7" t="s">
        <v>881</v>
      </c>
      <c r="D294" s="7" t="s">
        <v>920</v>
      </c>
      <c r="E294" s="7" t="s">
        <v>1185</v>
      </c>
      <c r="F294" s="7" t="s">
        <v>1183</v>
      </c>
      <c r="G294" s="7" t="s">
        <v>1185</v>
      </c>
    </row>
    <row r="295" spans="1:7" x14ac:dyDescent="0.35">
      <c r="A295" s="7" t="s">
        <v>545</v>
      </c>
      <c r="B295" s="7" t="s">
        <v>1242</v>
      </c>
      <c r="C295" s="7" t="s">
        <v>922</v>
      </c>
      <c r="D295" s="7" t="s">
        <v>920</v>
      </c>
      <c r="E295" s="7" t="s">
        <v>1183</v>
      </c>
      <c r="F295" s="7" t="s">
        <v>1183</v>
      </c>
      <c r="G295" s="7" t="s">
        <v>1185</v>
      </c>
    </row>
    <row r="296" spans="1:7" x14ac:dyDescent="0.35">
      <c r="A296" s="7" t="s">
        <v>547</v>
      </c>
      <c r="B296" s="7" t="s">
        <v>1240</v>
      </c>
      <c r="C296" s="7" t="s">
        <v>884</v>
      </c>
      <c r="D296" s="7" t="s">
        <v>920</v>
      </c>
      <c r="E296" s="7" t="s">
        <v>1183</v>
      </c>
      <c r="F296" s="7" t="s">
        <v>1183</v>
      </c>
      <c r="G296" s="7" t="s">
        <v>1185</v>
      </c>
    </row>
    <row r="297" spans="1:7" x14ac:dyDescent="0.35">
      <c r="A297" s="7" t="s">
        <v>1253</v>
      </c>
      <c r="B297" s="7" t="s">
        <v>1254</v>
      </c>
      <c r="C297" s="7" t="s">
        <v>881</v>
      </c>
      <c r="D297" s="7" t="s">
        <v>920</v>
      </c>
      <c r="E297" s="7" t="s">
        <v>1183</v>
      </c>
      <c r="F297" s="7" t="s">
        <v>1183</v>
      </c>
      <c r="G297" s="7" t="s">
        <v>1185</v>
      </c>
    </row>
    <row r="298" spans="1:7" x14ac:dyDescent="0.35">
      <c r="A298" s="7" t="s">
        <v>1036</v>
      </c>
      <c r="B298" s="7" t="s">
        <v>1027</v>
      </c>
      <c r="C298" s="7" t="s">
        <v>884</v>
      </c>
      <c r="D298" s="7" t="s">
        <v>920</v>
      </c>
      <c r="E298" s="7" t="s">
        <v>1183</v>
      </c>
      <c r="F298" s="7" t="s">
        <v>1183</v>
      </c>
      <c r="G298" s="7" t="s">
        <v>1183</v>
      </c>
    </row>
    <row r="299" spans="1:7" x14ac:dyDescent="0.35">
      <c r="A299" s="7" t="s">
        <v>551</v>
      </c>
      <c r="B299" s="7" t="s">
        <v>1029</v>
      </c>
      <c r="C299" s="7" t="s">
        <v>884</v>
      </c>
      <c r="D299" s="7" t="s">
        <v>920</v>
      </c>
      <c r="E299" s="7" t="s">
        <v>1183</v>
      </c>
      <c r="F299" s="7" t="s">
        <v>1183</v>
      </c>
      <c r="G299" s="7" t="s">
        <v>1183</v>
      </c>
    </row>
    <row r="300" spans="1:7" x14ac:dyDescent="0.35">
      <c r="A300" s="7" t="s">
        <v>553</v>
      </c>
      <c r="B300" s="7" t="s">
        <v>1255</v>
      </c>
      <c r="C300" s="7" t="s">
        <v>884</v>
      </c>
      <c r="D300" s="7" t="s">
        <v>920</v>
      </c>
      <c r="E300" s="7" t="s">
        <v>1185</v>
      </c>
      <c r="F300" s="7" t="s">
        <v>1183</v>
      </c>
      <c r="G300" s="7" t="s">
        <v>1185</v>
      </c>
    </row>
    <row r="301" spans="1:7" x14ac:dyDescent="0.35">
      <c r="A301" s="7" t="s">
        <v>555</v>
      </c>
      <c r="B301" s="7" t="s">
        <v>1256</v>
      </c>
      <c r="C301" s="7" t="s">
        <v>919</v>
      </c>
      <c r="D301" s="7" t="s">
        <v>920</v>
      </c>
      <c r="E301" s="7" t="s">
        <v>1185</v>
      </c>
      <c r="F301" s="7" t="s">
        <v>1183</v>
      </c>
      <c r="G301" s="7" t="s">
        <v>1185</v>
      </c>
    </row>
    <row r="302" spans="1:7" x14ac:dyDescent="0.35">
      <c r="A302" s="7" t="s">
        <v>557</v>
      </c>
      <c r="B302" s="7" t="s">
        <v>1257</v>
      </c>
      <c r="C302" s="7" t="s">
        <v>922</v>
      </c>
      <c r="D302" s="7" t="s">
        <v>920</v>
      </c>
      <c r="E302" s="7" t="s">
        <v>1185</v>
      </c>
      <c r="F302" s="7" t="s">
        <v>1183</v>
      </c>
      <c r="G302" s="7" t="s">
        <v>1185</v>
      </c>
    </row>
    <row r="303" spans="1:7" x14ac:dyDescent="0.35">
      <c r="A303" s="7" t="s">
        <v>559</v>
      </c>
      <c r="B303" s="7" t="s">
        <v>1258</v>
      </c>
      <c r="C303" s="7" t="s">
        <v>881</v>
      </c>
      <c r="D303" s="7" t="s">
        <v>920</v>
      </c>
      <c r="E303" s="7" t="s">
        <v>1185</v>
      </c>
      <c r="F303" s="7" t="s">
        <v>1183</v>
      </c>
      <c r="G303" s="7" t="s">
        <v>1185</v>
      </c>
    </row>
    <row r="304" spans="1:7" x14ac:dyDescent="0.35">
      <c r="A304" s="7" t="s">
        <v>561</v>
      </c>
      <c r="B304" s="7" t="s">
        <v>1259</v>
      </c>
      <c r="C304" s="7" t="s">
        <v>884</v>
      </c>
      <c r="D304" s="7" t="s">
        <v>920</v>
      </c>
      <c r="E304" s="7" t="s">
        <v>1185</v>
      </c>
      <c r="F304" s="7" t="s">
        <v>1183</v>
      </c>
      <c r="G304" s="7" t="s">
        <v>1185</v>
      </c>
    </row>
    <row r="305" spans="1:7" x14ac:dyDescent="0.35">
      <c r="A305" s="7" t="s">
        <v>1037</v>
      </c>
      <c r="B305" s="7" t="s">
        <v>1038</v>
      </c>
      <c r="C305" s="7" t="s">
        <v>884</v>
      </c>
      <c r="D305" s="7" t="s">
        <v>920</v>
      </c>
      <c r="E305" s="7" t="s">
        <v>1183</v>
      </c>
      <c r="F305" s="7" t="s">
        <v>1183</v>
      </c>
      <c r="G305" s="7" t="s">
        <v>1183</v>
      </c>
    </row>
    <row r="306" spans="1:7" x14ac:dyDescent="0.35">
      <c r="A306" s="7" t="s">
        <v>565</v>
      </c>
      <c r="B306" s="7" t="s">
        <v>566</v>
      </c>
      <c r="C306" s="7" t="s">
        <v>884</v>
      </c>
      <c r="D306" s="7" t="s">
        <v>920</v>
      </c>
      <c r="E306" s="7" t="s">
        <v>1185</v>
      </c>
      <c r="F306" s="7" t="s">
        <v>1183</v>
      </c>
      <c r="G306" s="7" t="s">
        <v>1185</v>
      </c>
    </row>
    <row r="307" spans="1:7" x14ac:dyDescent="0.35">
      <c r="A307" s="7" t="s">
        <v>567</v>
      </c>
      <c r="B307" s="7" t="s">
        <v>1260</v>
      </c>
      <c r="C307" s="7" t="s">
        <v>884</v>
      </c>
      <c r="D307" s="7" t="s">
        <v>920</v>
      </c>
      <c r="E307" s="7" t="s">
        <v>1185</v>
      </c>
      <c r="F307" s="7" t="s">
        <v>1183</v>
      </c>
      <c r="G307" s="7" t="s">
        <v>1185</v>
      </c>
    </row>
    <row r="308" spans="1:7" x14ac:dyDescent="0.35">
      <c r="A308" s="7" t="s">
        <v>568</v>
      </c>
      <c r="B308" s="7" t="s">
        <v>569</v>
      </c>
      <c r="C308" s="7" t="s">
        <v>924</v>
      </c>
      <c r="D308" s="7" t="s">
        <v>920</v>
      </c>
      <c r="E308" s="7" t="s">
        <v>1185</v>
      </c>
      <c r="F308" s="7" t="s">
        <v>1183</v>
      </c>
      <c r="G308" s="7" t="s">
        <v>1185</v>
      </c>
    </row>
    <row r="309" spans="1:7" x14ac:dyDescent="0.35">
      <c r="A309" s="7" t="s">
        <v>570</v>
      </c>
      <c r="B309" s="7" t="s">
        <v>571</v>
      </c>
      <c r="C309" s="7" t="s">
        <v>881</v>
      </c>
      <c r="D309" s="7" t="s">
        <v>920</v>
      </c>
      <c r="E309" s="7" t="s">
        <v>1185</v>
      </c>
      <c r="F309" s="7" t="s">
        <v>1183</v>
      </c>
      <c r="G309" s="7" t="s">
        <v>1185</v>
      </c>
    </row>
    <row r="310" spans="1:7" x14ac:dyDescent="0.35">
      <c r="A310" s="7" t="s">
        <v>572</v>
      </c>
      <c r="B310" s="7" t="s">
        <v>573</v>
      </c>
      <c r="C310" s="7" t="s">
        <v>919</v>
      </c>
      <c r="D310" s="7" t="s">
        <v>920</v>
      </c>
      <c r="E310" s="7" t="s">
        <v>1185</v>
      </c>
      <c r="F310" s="7" t="s">
        <v>1183</v>
      </c>
      <c r="G310" s="7" t="s">
        <v>1185</v>
      </c>
    </row>
    <row r="311" spans="1:7" x14ac:dyDescent="0.35">
      <c r="A311" s="7" t="s">
        <v>574</v>
      </c>
      <c r="B311" s="7" t="s">
        <v>575</v>
      </c>
      <c r="C311" s="7" t="s">
        <v>881</v>
      </c>
      <c r="D311" s="7" t="s">
        <v>920</v>
      </c>
      <c r="E311" s="7" t="s">
        <v>1185</v>
      </c>
      <c r="F311" s="7" t="s">
        <v>1183</v>
      </c>
      <c r="G311" s="7" t="s">
        <v>1185</v>
      </c>
    </row>
    <row r="312" spans="1:7" x14ac:dyDescent="0.35">
      <c r="A312" s="7" t="s">
        <v>576</v>
      </c>
      <c r="B312" s="7" t="s">
        <v>577</v>
      </c>
      <c r="C312" s="7" t="s">
        <v>881</v>
      </c>
      <c r="D312" s="7" t="s">
        <v>920</v>
      </c>
      <c r="E312" s="7" t="s">
        <v>1185</v>
      </c>
      <c r="F312" s="7" t="s">
        <v>1183</v>
      </c>
      <c r="G312" s="7" t="s">
        <v>1185</v>
      </c>
    </row>
    <row r="313" spans="1:7" x14ac:dyDescent="0.35">
      <c r="A313" s="7" t="s">
        <v>578</v>
      </c>
      <c r="B313" s="7" t="s">
        <v>579</v>
      </c>
      <c r="C313" s="7" t="s">
        <v>884</v>
      </c>
      <c r="D313" s="7" t="s">
        <v>920</v>
      </c>
      <c r="E313" s="7" t="s">
        <v>1183</v>
      </c>
      <c r="F313" s="7" t="s">
        <v>1183</v>
      </c>
      <c r="G313" s="7" t="s">
        <v>1183</v>
      </c>
    </row>
    <row r="314" spans="1:7" x14ac:dyDescent="0.35">
      <c r="A314" s="7" t="s">
        <v>1039</v>
      </c>
      <c r="B314" s="7" t="s">
        <v>577</v>
      </c>
      <c r="C314" s="7" t="s">
        <v>881</v>
      </c>
      <c r="D314" s="7" t="s">
        <v>920</v>
      </c>
      <c r="E314" s="7" t="s">
        <v>1183</v>
      </c>
      <c r="F314" s="7" t="s">
        <v>1183</v>
      </c>
      <c r="G314" s="7" t="s">
        <v>1183</v>
      </c>
    </row>
    <row r="315" spans="1:7" x14ac:dyDescent="0.35">
      <c r="A315" s="7" t="s">
        <v>580</v>
      </c>
      <c r="B315" s="7" t="s">
        <v>581</v>
      </c>
      <c r="C315" s="7" t="s">
        <v>884</v>
      </c>
      <c r="D315" s="7" t="s">
        <v>920</v>
      </c>
      <c r="E315" s="7" t="s">
        <v>1185</v>
      </c>
      <c r="F315" s="7" t="s">
        <v>1183</v>
      </c>
      <c r="G315" s="7" t="s">
        <v>1185</v>
      </c>
    </row>
    <row r="316" spans="1:7" x14ac:dyDescent="0.35">
      <c r="A316" s="7" t="s">
        <v>582</v>
      </c>
      <c r="B316" s="7" t="s">
        <v>583</v>
      </c>
      <c r="C316" s="7" t="s">
        <v>881</v>
      </c>
      <c r="D316" s="7" t="s">
        <v>920</v>
      </c>
      <c r="E316" s="7" t="s">
        <v>1183</v>
      </c>
      <c r="F316" s="7" t="s">
        <v>1183</v>
      </c>
      <c r="G316" s="7" t="s">
        <v>1183</v>
      </c>
    </row>
    <row r="317" spans="1:7" x14ac:dyDescent="0.35">
      <c r="A317" s="7" t="s">
        <v>1040</v>
      </c>
      <c r="B317" s="7" t="s">
        <v>1041</v>
      </c>
      <c r="C317" s="7" t="s">
        <v>881</v>
      </c>
      <c r="D317" s="7" t="s">
        <v>1042</v>
      </c>
      <c r="E317" s="7" t="s">
        <v>1183</v>
      </c>
      <c r="F317" s="7" t="s">
        <v>1183</v>
      </c>
      <c r="G317" s="7" t="s">
        <v>1183</v>
      </c>
    </row>
    <row r="318" spans="1:7" x14ac:dyDescent="0.35">
      <c r="A318" s="8" t="s">
        <v>584</v>
      </c>
      <c r="B318" s="8" t="s">
        <v>585</v>
      </c>
      <c r="C318" s="8" t="s">
        <v>881</v>
      </c>
      <c r="D318" s="8" t="s">
        <v>925</v>
      </c>
      <c r="E318" s="8" t="s">
        <v>1185</v>
      </c>
      <c r="F318" s="8" t="s">
        <v>1183</v>
      </c>
      <c r="G318" s="8" t="s">
        <v>1185</v>
      </c>
    </row>
    <row r="319" spans="1:7" x14ac:dyDescent="0.35">
      <c r="A319" s="8" t="s">
        <v>586</v>
      </c>
      <c r="B319" s="8" t="s">
        <v>1261</v>
      </c>
      <c r="C319" s="8" t="s">
        <v>881</v>
      </c>
      <c r="D319" s="8" t="s">
        <v>925</v>
      </c>
      <c r="E319" s="8" t="s">
        <v>1185</v>
      </c>
      <c r="F319" s="8" t="s">
        <v>1183</v>
      </c>
      <c r="G319" s="8" t="s">
        <v>1185</v>
      </c>
    </row>
    <row r="320" spans="1:7" x14ac:dyDescent="0.35">
      <c r="A320" s="8" t="s">
        <v>588</v>
      </c>
      <c r="B320" s="8" t="s">
        <v>1262</v>
      </c>
      <c r="C320" s="8" t="s">
        <v>881</v>
      </c>
      <c r="D320" s="8" t="s">
        <v>925</v>
      </c>
      <c r="E320" s="8" t="s">
        <v>1185</v>
      </c>
      <c r="F320" s="8" t="s">
        <v>1183</v>
      </c>
      <c r="G320" s="8" t="s">
        <v>1185</v>
      </c>
    </row>
    <row r="321" spans="1:7" x14ac:dyDescent="0.35">
      <c r="A321" s="8" t="s">
        <v>592</v>
      </c>
      <c r="B321" s="8" t="s">
        <v>593</v>
      </c>
      <c r="C321" s="8" t="s">
        <v>881</v>
      </c>
      <c r="D321" s="8" t="s">
        <v>925</v>
      </c>
      <c r="E321" s="8" t="s">
        <v>1185</v>
      </c>
      <c r="F321" s="8" t="s">
        <v>1183</v>
      </c>
      <c r="G321" s="8" t="s">
        <v>1185</v>
      </c>
    </row>
    <row r="322" spans="1:7" x14ac:dyDescent="0.35">
      <c r="A322" s="8" t="s">
        <v>594</v>
      </c>
      <c r="B322" s="8" t="s">
        <v>595</v>
      </c>
      <c r="C322" s="8" t="s">
        <v>881</v>
      </c>
      <c r="D322" s="8" t="s">
        <v>925</v>
      </c>
      <c r="E322" s="8" t="s">
        <v>1185</v>
      </c>
      <c r="F322" s="8" t="s">
        <v>1183</v>
      </c>
      <c r="G322" s="8" t="s">
        <v>1185</v>
      </c>
    </row>
    <row r="323" spans="1:7" x14ac:dyDescent="0.35">
      <c r="A323" s="8" t="s">
        <v>596</v>
      </c>
      <c r="B323" s="8" t="s">
        <v>597</v>
      </c>
      <c r="C323" s="8" t="s">
        <v>881</v>
      </c>
      <c r="D323" s="8" t="s">
        <v>925</v>
      </c>
      <c r="E323" s="8" t="s">
        <v>1185</v>
      </c>
      <c r="F323" s="8" t="s">
        <v>1183</v>
      </c>
      <c r="G323" s="8" t="s">
        <v>1185</v>
      </c>
    </row>
    <row r="324" spans="1:7" x14ac:dyDescent="0.35">
      <c r="A324" s="8" t="s">
        <v>1043</v>
      </c>
      <c r="B324" s="8" t="s">
        <v>585</v>
      </c>
      <c r="C324" s="8" t="s">
        <v>881</v>
      </c>
      <c r="D324" s="8" t="s">
        <v>925</v>
      </c>
      <c r="E324" s="8" t="s">
        <v>1183</v>
      </c>
      <c r="F324" s="8" t="s">
        <v>1183</v>
      </c>
      <c r="G324" s="8" t="s">
        <v>1183</v>
      </c>
    </row>
    <row r="325" spans="1:7" x14ac:dyDescent="0.35">
      <c r="A325" s="8" t="s">
        <v>1044</v>
      </c>
      <c r="B325" s="8" t="s">
        <v>593</v>
      </c>
      <c r="C325" s="8" t="s">
        <v>881</v>
      </c>
      <c r="D325" s="8" t="s">
        <v>925</v>
      </c>
      <c r="E325" s="8" t="s">
        <v>1185</v>
      </c>
      <c r="F325" s="8" t="s">
        <v>1183</v>
      </c>
      <c r="G325" s="8" t="s">
        <v>1185</v>
      </c>
    </row>
    <row r="326" spans="1:7" x14ac:dyDescent="0.35">
      <c r="A326" s="8" t="s">
        <v>598</v>
      </c>
      <c r="B326" s="8" t="s">
        <v>599</v>
      </c>
      <c r="C326" s="8" t="s">
        <v>881</v>
      </c>
      <c r="D326" s="8" t="s">
        <v>925</v>
      </c>
      <c r="E326" s="8" t="s">
        <v>1183</v>
      </c>
      <c r="F326" s="8" t="s">
        <v>1183</v>
      </c>
      <c r="G326" s="8" t="s">
        <v>1183</v>
      </c>
    </row>
    <row r="327" spans="1:7" x14ac:dyDescent="0.35">
      <c r="A327" s="8" t="s">
        <v>600</v>
      </c>
      <c r="B327" s="8" t="s">
        <v>601</v>
      </c>
      <c r="C327" s="8" t="s">
        <v>881</v>
      </c>
      <c r="D327" s="8" t="s">
        <v>925</v>
      </c>
      <c r="E327" s="8" t="s">
        <v>1185</v>
      </c>
      <c r="F327" s="8" t="s">
        <v>1183</v>
      </c>
      <c r="G327" s="8" t="s">
        <v>1185</v>
      </c>
    </row>
    <row r="328" spans="1:7" x14ac:dyDescent="0.35">
      <c r="A328" s="8" t="s">
        <v>602</v>
      </c>
      <c r="B328" s="8" t="s">
        <v>603</v>
      </c>
      <c r="C328" s="8" t="s">
        <v>881</v>
      </c>
      <c r="D328" s="8" t="s">
        <v>925</v>
      </c>
      <c r="E328" s="8" t="s">
        <v>1183</v>
      </c>
      <c r="F328" s="8" t="s">
        <v>1183</v>
      </c>
      <c r="G328" s="8" t="s">
        <v>1183</v>
      </c>
    </row>
    <row r="329" spans="1:7" x14ac:dyDescent="0.35">
      <c r="A329" s="8" t="s">
        <v>604</v>
      </c>
      <c r="B329" s="8" t="s">
        <v>605</v>
      </c>
      <c r="C329" s="8" t="s">
        <v>881</v>
      </c>
      <c r="D329" s="8" t="s">
        <v>925</v>
      </c>
      <c r="E329" s="8" t="s">
        <v>1183</v>
      </c>
      <c r="F329" s="8" t="s">
        <v>1183</v>
      </c>
      <c r="G329" s="8" t="s">
        <v>1183</v>
      </c>
    </row>
    <row r="330" spans="1:7" x14ac:dyDescent="0.35">
      <c r="A330" s="8" t="s">
        <v>606</v>
      </c>
      <c r="B330" s="8" t="s">
        <v>607</v>
      </c>
      <c r="C330" s="8" t="s">
        <v>881</v>
      </c>
      <c r="D330" s="8" t="s">
        <v>925</v>
      </c>
      <c r="E330" s="8" t="s">
        <v>1183</v>
      </c>
      <c r="F330" s="8" t="s">
        <v>1183</v>
      </c>
      <c r="G330" s="8" t="s">
        <v>1183</v>
      </c>
    </row>
    <row r="331" spans="1:7" x14ac:dyDescent="0.35">
      <c r="A331" s="8" t="s">
        <v>608</v>
      </c>
      <c r="B331" s="8" t="s">
        <v>1045</v>
      </c>
      <c r="C331" s="8" t="s">
        <v>881</v>
      </c>
      <c r="D331" s="8" t="s">
        <v>925</v>
      </c>
      <c r="E331" s="8" t="s">
        <v>1183</v>
      </c>
      <c r="F331" s="8" t="s">
        <v>1183</v>
      </c>
      <c r="G331" s="8" t="s">
        <v>1183</v>
      </c>
    </row>
    <row r="332" spans="1:7" x14ac:dyDescent="0.35">
      <c r="A332" s="8" t="s">
        <v>610</v>
      </c>
      <c r="B332" s="8" t="s">
        <v>611</v>
      </c>
      <c r="C332" s="8" t="s">
        <v>881</v>
      </c>
      <c r="D332" s="8" t="s">
        <v>925</v>
      </c>
      <c r="E332" s="8" t="s">
        <v>1185</v>
      </c>
      <c r="F332" s="8" t="s">
        <v>1183</v>
      </c>
      <c r="G332" s="8" t="s">
        <v>1185</v>
      </c>
    </row>
    <row r="333" spans="1:7" x14ac:dyDescent="0.35">
      <c r="A333" s="8" t="s">
        <v>612</v>
      </c>
      <c r="B333" s="8" t="s">
        <v>613</v>
      </c>
      <c r="C333" s="8" t="s">
        <v>881</v>
      </c>
      <c r="D333" s="8" t="s">
        <v>925</v>
      </c>
      <c r="E333" s="8" t="s">
        <v>1185</v>
      </c>
      <c r="F333" s="8" t="s">
        <v>1183</v>
      </c>
      <c r="G333" s="8" t="s">
        <v>1185</v>
      </c>
    </row>
    <row r="334" spans="1:7" x14ac:dyDescent="0.35">
      <c r="A334" s="8" t="s">
        <v>614</v>
      </c>
      <c r="B334" s="8" t="s">
        <v>615</v>
      </c>
      <c r="C334" s="8" t="s">
        <v>881</v>
      </c>
      <c r="D334" s="8" t="s">
        <v>925</v>
      </c>
      <c r="E334" s="8" t="s">
        <v>1185</v>
      </c>
      <c r="F334" s="8" t="s">
        <v>1183</v>
      </c>
      <c r="G334" s="8" t="s">
        <v>1185</v>
      </c>
    </row>
    <row r="335" spans="1:7" x14ac:dyDescent="0.35">
      <c r="A335" s="8" t="s">
        <v>616</v>
      </c>
      <c r="B335" s="8" t="s">
        <v>617</v>
      </c>
      <c r="C335" s="8" t="s">
        <v>881</v>
      </c>
      <c r="D335" s="8" t="s">
        <v>925</v>
      </c>
      <c r="E335" s="8" t="s">
        <v>1185</v>
      </c>
      <c r="F335" s="8" t="s">
        <v>1183</v>
      </c>
      <c r="G335" s="8" t="s">
        <v>1185</v>
      </c>
    </row>
    <row r="336" spans="1:7" x14ac:dyDescent="0.35">
      <c r="A336" s="8" t="s">
        <v>1047</v>
      </c>
      <c r="B336" s="8" t="s">
        <v>1048</v>
      </c>
      <c r="C336" s="8" t="s">
        <v>881</v>
      </c>
      <c r="D336" s="8" t="s">
        <v>925</v>
      </c>
      <c r="E336" s="8" t="s">
        <v>1183</v>
      </c>
      <c r="F336" s="8" t="s">
        <v>1183</v>
      </c>
      <c r="G336" s="8" t="s">
        <v>1183</v>
      </c>
    </row>
    <row r="337" spans="1:7" x14ac:dyDescent="0.35">
      <c r="A337" s="8" t="s">
        <v>618</v>
      </c>
      <c r="B337" s="8" t="s">
        <v>619</v>
      </c>
      <c r="C337" s="8" t="s">
        <v>881</v>
      </c>
      <c r="D337" s="8" t="s">
        <v>925</v>
      </c>
      <c r="E337" s="8" t="s">
        <v>1185</v>
      </c>
      <c r="F337" s="8" t="s">
        <v>1183</v>
      </c>
      <c r="G337" s="8" t="s">
        <v>1185</v>
      </c>
    </row>
    <row r="338" spans="1:7" x14ac:dyDescent="0.35">
      <c r="A338" s="8" t="s">
        <v>620</v>
      </c>
      <c r="B338" s="8" t="s">
        <v>1049</v>
      </c>
      <c r="C338" s="8" t="s">
        <v>881</v>
      </c>
      <c r="D338" s="8" t="s">
        <v>925</v>
      </c>
      <c r="E338" s="8" t="s">
        <v>1183</v>
      </c>
      <c r="F338" s="8" t="s">
        <v>1183</v>
      </c>
      <c r="G338" s="8" t="s">
        <v>1183</v>
      </c>
    </row>
    <row r="339" spans="1:7" x14ac:dyDescent="0.35">
      <c r="A339" s="8" t="s">
        <v>622</v>
      </c>
      <c r="B339" s="8" t="s">
        <v>926</v>
      </c>
      <c r="C339" s="8" t="s">
        <v>881</v>
      </c>
      <c r="D339" s="8" t="s">
        <v>925</v>
      </c>
      <c r="E339" s="8" t="s">
        <v>1185</v>
      </c>
      <c r="F339" s="8" t="s">
        <v>1183</v>
      </c>
      <c r="G339" s="8" t="s">
        <v>1185</v>
      </c>
    </row>
    <row r="340" spans="1:7" x14ac:dyDescent="0.35">
      <c r="A340" s="8" t="s">
        <v>623</v>
      </c>
      <c r="B340" s="8" t="s">
        <v>927</v>
      </c>
      <c r="C340" s="8" t="s">
        <v>881</v>
      </c>
      <c r="D340" s="8" t="s">
        <v>925</v>
      </c>
      <c r="E340" s="8" t="s">
        <v>1185</v>
      </c>
      <c r="F340" s="8" t="s">
        <v>1183</v>
      </c>
      <c r="G340" s="8" t="s">
        <v>1185</v>
      </c>
    </row>
    <row r="341" spans="1:7" x14ac:dyDescent="0.35">
      <c r="A341" s="8" t="s">
        <v>624</v>
      </c>
      <c r="B341" s="8" t="s">
        <v>625</v>
      </c>
      <c r="C341" s="8" t="s">
        <v>881</v>
      </c>
      <c r="D341" s="8" t="s">
        <v>925</v>
      </c>
      <c r="E341" s="8" t="s">
        <v>1185</v>
      </c>
      <c r="F341" s="8" t="s">
        <v>1183</v>
      </c>
      <c r="G341" s="8" t="s">
        <v>1185</v>
      </c>
    </row>
    <row r="342" spans="1:7" x14ac:dyDescent="0.35">
      <c r="A342" s="8" t="s">
        <v>626</v>
      </c>
      <c r="B342" s="8" t="s">
        <v>627</v>
      </c>
      <c r="C342" s="8" t="s">
        <v>881</v>
      </c>
      <c r="D342" s="8" t="s">
        <v>925</v>
      </c>
      <c r="E342" s="8" t="s">
        <v>1185</v>
      </c>
      <c r="F342" s="8" t="s">
        <v>1183</v>
      </c>
      <c r="G342" s="8" t="s">
        <v>1185</v>
      </c>
    </row>
    <row r="343" spans="1:7" x14ac:dyDescent="0.35">
      <c r="A343" s="8" t="s">
        <v>628</v>
      </c>
      <c r="B343" s="8" t="s">
        <v>629</v>
      </c>
      <c r="C343" s="8" t="s">
        <v>881</v>
      </c>
      <c r="D343" s="8" t="s">
        <v>925</v>
      </c>
      <c r="E343" s="8" t="s">
        <v>1185</v>
      </c>
      <c r="F343" s="8" t="s">
        <v>1183</v>
      </c>
      <c r="G343" s="8" t="s">
        <v>1185</v>
      </c>
    </row>
    <row r="344" spans="1:7" x14ac:dyDescent="0.35">
      <c r="A344" s="8" t="s">
        <v>630</v>
      </c>
      <c r="B344" s="8" t="s">
        <v>631</v>
      </c>
      <c r="C344" s="8" t="s">
        <v>881</v>
      </c>
      <c r="D344" s="8" t="s">
        <v>925</v>
      </c>
      <c r="E344" s="8" t="s">
        <v>1185</v>
      </c>
      <c r="F344" s="8" t="s">
        <v>1183</v>
      </c>
      <c r="G344" s="8" t="s">
        <v>1185</v>
      </c>
    </row>
    <row r="345" spans="1:7" x14ac:dyDescent="0.35">
      <c r="A345" s="8" t="s">
        <v>632</v>
      </c>
      <c r="B345" s="8" t="s">
        <v>633</v>
      </c>
      <c r="C345" s="8" t="s">
        <v>881</v>
      </c>
      <c r="D345" s="8" t="s">
        <v>925</v>
      </c>
      <c r="E345" s="8" t="s">
        <v>1185</v>
      </c>
      <c r="F345" s="8" t="s">
        <v>1183</v>
      </c>
      <c r="G345" s="8" t="s">
        <v>1185</v>
      </c>
    </row>
    <row r="346" spans="1:7" x14ac:dyDescent="0.35">
      <c r="A346" s="8" t="s">
        <v>1052</v>
      </c>
      <c r="B346" s="8" t="s">
        <v>1053</v>
      </c>
      <c r="C346" s="8" t="s">
        <v>881</v>
      </c>
      <c r="D346" s="8" t="s">
        <v>925</v>
      </c>
      <c r="E346" s="8" t="s">
        <v>1183</v>
      </c>
      <c r="F346" s="8" t="s">
        <v>1183</v>
      </c>
      <c r="G346" s="8" t="s">
        <v>1183</v>
      </c>
    </row>
    <row r="347" spans="1:7" x14ac:dyDescent="0.35">
      <c r="A347" s="8" t="s">
        <v>634</v>
      </c>
      <c r="B347" s="8" t="s">
        <v>635</v>
      </c>
      <c r="C347" s="8" t="s">
        <v>881</v>
      </c>
      <c r="D347" s="8" t="s">
        <v>925</v>
      </c>
      <c r="E347" s="8" t="s">
        <v>1183</v>
      </c>
      <c r="F347" s="8" t="s">
        <v>1183</v>
      </c>
      <c r="G347" s="8" t="s">
        <v>1183</v>
      </c>
    </row>
    <row r="348" spans="1:7" x14ac:dyDescent="0.35">
      <c r="A348" s="8" t="s">
        <v>636</v>
      </c>
      <c r="B348" s="8" t="s">
        <v>637</v>
      </c>
      <c r="C348" s="8" t="s">
        <v>881</v>
      </c>
      <c r="D348" s="8" t="s">
        <v>925</v>
      </c>
      <c r="E348" s="8" t="s">
        <v>1185</v>
      </c>
      <c r="F348" s="8" t="s">
        <v>1183</v>
      </c>
      <c r="G348" s="8" t="s">
        <v>1185</v>
      </c>
    </row>
    <row r="349" spans="1:7" x14ac:dyDescent="0.35">
      <c r="A349" s="8" t="s">
        <v>638</v>
      </c>
      <c r="B349" s="8" t="s">
        <v>639</v>
      </c>
      <c r="C349" s="8" t="s">
        <v>881</v>
      </c>
      <c r="D349" s="8" t="s">
        <v>925</v>
      </c>
      <c r="E349" s="8" t="s">
        <v>1185</v>
      </c>
      <c r="F349" s="8" t="s">
        <v>1183</v>
      </c>
      <c r="G349" s="8" t="s">
        <v>1185</v>
      </c>
    </row>
    <row r="350" spans="1:7" x14ac:dyDescent="0.35">
      <c r="A350" s="8" t="s">
        <v>640</v>
      </c>
      <c r="B350" s="8" t="s">
        <v>641</v>
      </c>
      <c r="C350" s="8" t="s">
        <v>881</v>
      </c>
      <c r="D350" s="8" t="s">
        <v>925</v>
      </c>
      <c r="E350" s="8" t="s">
        <v>1185</v>
      </c>
      <c r="F350" s="8" t="s">
        <v>1183</v>
      </c>
      <c r="G350" s="8" t="s">
        <v>1185</v>
      </c>
    </row>
    <row r="351" spans="1:7" x14ac:dyDescent="0.35">
      <c r="A351" s="8" t="s">
        <v>642</v>
      </c>
      <c r="B351" s="8" t="s">
        <v>643</v>
      </c>
      <c r="C351" s="8" t="s">
        <v>881</v>
      </c>
      <c r="D351" s="8" t="s">
        <v>925</v>
      </c>
      <c r="E351" s="8" t="s">
        <v>1185</v>
      </c>
      <c r="F351" s="8" t="s">
        <v>1183</v>
      </c>
      <c r="G351" s="8" t="s">
        <v>1185</v>
      </c>
    </row>
    <row r="352" spans="1:7" x14ac:dyDescent="0.35">
      <c r="A352" s="8" t="s">
        <v>644</v>
      </c>
      <c r="B352" s="8" t="s">
        <v>645</v>
      </c>
      <c r="C352" s="8" t="s">
        <v>881</v>
      </c>
      <c r="D352" s="8" t="s">
        <v>925</v>
      </c>
      <c r="E352" s="8" t="s">
        <v>1185</v>
      </c>
      <c r="F352" s="8" t="s">
        <v>1183</v>
      </c>
      <c r="G352" s="8" t="s">
        <v>1185</v>
      </c>
    </row>
    <row r="353" spans="1:7" x14ac:dyDescent="0.35">
      <c r="A353" s="8" t="s">
        <v>646</v>
      </c>
      <c r="B353" s="8" t="s">
        <v>647</v>
      </c>
      <c r="C353" s="8" t="s">
        <v>881</v>
      </c>
      <c r="D353" s="8" t="s">
        <v>925</v>
      </c>
      <c r="E353" s="8" t="s">
        <v>1185</v>
      </c>
      <c r="F353" s="8" t="s">
        <v>1183</v>
      </c>
      <c r="G353" s="8" t="s">
        <v>1185</v>
      </c>
    </row>
    <row r="354" spans="1:7" x14ac:dyDescent="0.35">
      <c r="A354" s="8" t="s">
        <v>648</v>
      </c>
      <c r="B354" s="8" t="s">
        <v>649</v>
      </c>
      <c r="C354" s="8" t="s">
        <v>881</v>
      </c>
      <c r="D354" s="8" t="s">
        <v>925</v>
      </c>
      <c r="E354" s="8" t="s">
        <v>1185</v>
      </c>
      <c r="F354" s="8" t="s">
        <v>1183</v>
      </c>
      <c r="G354" s="8" t="s">
        <v>1185</v>
      </c>
    </row>
    <row r="355" spans="1:7" x14ac:dyDescent="0.35">
      <c r="A355" s="8" t="s">
        <v>650</v>
      </c>
      <c r="B355" s="8" t="s">
        <v>651</v>
      </c>
      <c r="C355" s="8" t="s">
        <v>881</v>
      </c>
      <c r="D355" s="8" t="s">
        <v>925</v>
      </c>
      <c r="E355" s="8" t="s">
        <v>1185</v>
      </c>
      <c r="F355" s="8" t="s">
        <v>1183</v>
      </c>
      <c r="G355" s="8" t="s">
        <v>1185</v>
      </c>
    </row>
    <row r="356" spans="1:7" x14ac:dyDescent="0.35">
      <c r="A356" s="8" t="s">
        <v>652</v>
      </c>
      <c r="B356" s="8" t="s">
        <v>653</v>
      </c>
      <c r="C356" s="8" t="s">
        <v>881</v>
      </c>
      <c r="D356" s="8" t="s">
        <v>925</v>
      </c>
      <c r="E356" s="8" t="s">
        <v>1185</v>
      </c>
      <c r="F356" s="8" t="s">
        <v>1183</v>
      </c>
      <c r="G356" s="8" t="s">
        <v>1185</v>
      </c>
    </row>
    <row r="357" spans="1:7" x14ac:dyDescent="0.35">
      <c r="A357" s="8" t="s">
        <v>654</v>
      </c>
      <c r="B357" s="8" t="s">
        <v>655</v>
      </c>
      <c r="C357" s="8" t="s">
        <v>881</v>
      </c>
      <c r="D357" s="8" t="s">
        <v>925</v>
      </c>
      <c r="E357" s="8" t="s">
        <v>1185</v>
      </c>
      <c r="F357" s="8" t="s">
        <v>1183</v>
      </c>
      <c r="G357" s="8" t="s">
        <v>1185</v>
      </c>
    </row>
    <row r="358" spans="1:7" x14ac:dyDescent="0.35">
      <c r="A358" s="8" t="s">
        <v>660</v>
      </c>
      <c r="B358" s="8" t="s">
        <v>661</v>
      </c>
      <c r="C358" s="8" t="s">
        <v>881</v>
      </c>
      <c r="D358" s="8" t="s">
        <v>925</v>
      </c>
      <c r="E358" s="8" t="s">
        <v>1185</v>
      </c>
      <c r="F358" s="8" t="s">
        <v>1183</v>
      </c>
      <c r="G358" s="8" t="s">
        <v>1185</v>
      </c>
    </row>
    <row r="359" spans="1:7" x14ac:dyDescent="0.35">
      <c r="A359" s="8" t="s">
        <v>662</v>
      </c>
      <c r="B359" s="8" t="s">
        <v>663</v>
      </c>
      <c r="C359" s="8" t="s">
        <v>881</v>
      </c>
      <c r="D359" s="8" t="s">
        <v>925</v>
      </c>
      <c r="E359" s="8" t="s">
        <v>1185</v>
      </c>
      <c r="F359" s="8" t="s">
        <v>1183</v>
      </c>
      <c r="G359" s="8" t="s">
        <v>1185</v>
      </c>
    </row>
    <row r="360" spans="1:7" x14ac:dyDescent="0.35">
      <c r="A360" s="8" t="s">
        <v>664</v>
      </c>
      <c r="B360" s="8" t="s">
        <v>665</v>
      </c>
      <c r="C360" s="8" t="s">
        <v>881</v>
      </c>
      <c r="D360" s="8" t="s">
        <v>925</v>
      </c>
      <c r="E360" s="8" t="s">
        <v>1185</v>
      </c>
      <c r="F360" s="8" t="s">
        <v>1183</v>
      </c>
      <c r="G360" s="8" t="s">
        <v>1185</v>
      </c>
    </row>
    <row r="361" spans="1:7" x14ac:dyDescent="0.35">
      <c r="A361" s="8" t="s">
        <v>666</v>
      </c>
      <c r="B361" s="8" t="s">
        <v>667</v>
      </c>
      <c r="C361" s="8" t="s">
        <v>881</v>
      </c>
      <c r="D361" s="8" t="s">
        <v>925</v>
      </c>
      <c r="E361" s="8" t="s">
        <v>1185</v>
      </c>
      <c r="F361" s="8" t="s">
        <v>1183</v>
      </c>
      <c r="G361" s="8" t="s">
        <v>1185</v>
      </c>
    </row>
    <row r="362" spans="1:7" x14ac:dyDescent="0.35">
      <c r="A362" s="8" t="s">
        <v>668</v>
      </c>
      <c r="B362" s="8" t="s">
        <v>669</v>
      </c>
      <c r="C362" s="8" t="s">
        <v>884</v>
      </c>
      <c r="D362" s="8" t="s">
        <v>925</v>
      </c>
      <c r="E362" s="8" t="s">
        <v>1185</v>
      </c>
      <c r="F362" s="8" t="s">
        <v>1183</v>
      </c>
      <c r="G362" s="8" t="s">
        <v>1185</v>
      </c>
    </row>
    <row r="363" spans="1:7" x14ac:dyDescent="0.35">
      <c r="A363" s="8" t="s">
        <v>670</v>
      </c>
      <c r="B363" s="8" t="s">
        <v>671</v>
      </c>
      <c r="C363" s="8" t="s">
        <v>881</v>
      </c>
      <c r="D363" s="8" t="s">
        <v>925</v>
      </c>
      <c r="E363" s="8" t="s">
        <v>1185</v>
      </c>
      <c r="F363" s="8" t="s">
        <v>1183</v>
      </c>
      <c r="G363" s="8" t="s">
        <v>1185</v>
      </c>
    </row>
    <row r="364" spans="1:7" x14ac:dyDescent="0.35">
      <c r="A364" s="9" t="s">
        <v>672</v>
      </c>
      <c r="B364" s="9" t="s">
        <v>673</v>
      </c>
      <c r="C364" s="9" t="s">
        <v>881</v>
      </c>
      <c r="D364" s="9" t="s">
        <v>928</v>
      </c>
      <c r="E364" s="9" t="s">
        <v>1183</v>
      </c>
      <c r="F364" s="9" t="s">
        <v>1183</v>
      </c>
      <c r="G364" s="9" t="s">
        <v>1183</v>
      </c>
    </row>
    <row r="365" spans="1:7" x14ac:dyDescent="0.35">
      <c r="A365" s="9" t="s">
        <v>674</v>
      </c>
      <c r="B365" s="9" t="s">
        <v>46</v>
      </c>
      <c r="C365" s="9" t="s">
        <v>881</v>
      </c>
      <c r="D365" s="9" t="s">
        <v>928</v>
      </c>
      <c r="E365" s="9" t="s">
        <v>1185</v>
      </c>
      <c r="F365" s="9" t="s">
        <v>1183</v>
      </c>
      <c r="G365" s="9" t="s">
        <v>1185</v>
      </c>
    </row>
    <row r="366" spans="1:7" x14ac:dyDescent="0.35">
      <c r="A366" s="9" t="s">
        <v>675</v>
      </c>
      <c r="B366" s="9" t="s">
        <v>676</v>
      </c>
      <c r="C366" s="9" t="s">
        <v>881</v>
      </c>
      <c r="D366" s="9" t="s">
        <v>928</v>
      </c>
      <c r="E366" s="9" t="s">
        <v>1185</v>
      </c>
      <c r="F366" s="9" t="s">
        <v>1183</v>
      </c>
      <c r="G366" s="9" t="s">
        <v>1183</v>
      </c>
    </row>
    <row r="367" spans="1:7" x14ac:dyDescent="0.35">
      <c r="A367" s="9" t="s">
        <v>677</v>
      </c>
      <c r="B367" s="9" t="s">
        <v>678</v>
      </c>
      <c r="C367" s="9" t="s">
        <v>881</v>
      </c>
      <c r="D367" s="9" t="s">
        <v>928</v>
      </c>
      <c r="E367" s="9" t="s">
        <v>1183</v>
      </c>
      <c r="F367" s="9" t="s">
        <v>1183</v>
      </c>
      <c r="G367" s="9" t="s">
        <v>1183</v>
      </c>
    </row>
    <row r="368" spans="1:7" x14ac:dyDescent="0.35">
      <c r="A368" s="9" t="s">
        <v>679</v>
      </c>
      <c r="B368" s="9" t="s">
        <v>680</v>
      </c>
      <c r="C368" s="9" t="s">
        <v>881</v>
      </c>
      <c r="D368" s="9" t="s">
        <v>929</v>
      </c>
      <c r="E368" s="9" t="s">
        <v>1183</v>
      </c>
      <c r="F368" s="9" t="s">
        <v>1183</v>
      </c>
      <c r="G368" s="9" t="s">
        <v>1183</v>
      </c>
    </row>
    <row r="369" spans="1:7" x14ac:dyDescent="0.35">
      <c r="A369" s="9" t="s">
        <v>681</v>
      </c>
      <c r="B369" s="9" t="s">
        <v>682</v>
      </c>
      <c r="C369" s="9" t="s">
        <v>884</v>
      </c>
      <c r="D369" s="9" t="s">
        <v>930</v>
      </c>
      <c r="E369" s="9" t="s">
        <v>1185</v>
      </c>
      <c r="F369" s="9" t="s">
        <v>1183</v>
      </c>
      <c r="G369" s="9" t="s">
        <v>1185</v>
      </c>
    </row>
    <row r="370" spans="1:7" x14ac:dyDescent="0.35">
      <c r="A370" s="9" t="s">
        <v>683</v>
      </c>
      <c r="B370" s="9" t="s">
        <v>1060</v>
      </c>
      <c r="C370" s="9" t="s">
        <v>884</v>
      </c>
      <c r="D370" s="9" t="s">
        <v>930</v>
      </c>
      <c r="E370" s="9" t="s">
        <v>1183</v>
      </c>
      <c r="F370" s="9" t="s">
        <v>1183</v>
      </c>
      <c r="G370" s="9" t="s">
        <v>1183</v>
      </c>
    </row>
    <row r="371" spans="1:7" x14ac:dyDescent="0.35">
      <c r="A371" s="9" t="s">
        <v>1061</v>
      </c>
      <c r="B371" s="9" t="s">
        <v>1062</v>
      </c>
      <c r="C371" s="9" t="s">
        <v>884</v>
      </c>
      <c r="D371" s="9" t="s">
        <v>930</v>
      </c>
      <c r="E371" s="9" t="s">
        <v>1183</v>
      </c>
      <c r="F371" s="9" t="s">
        <v>1183</v>
      </c>
      <c r="G371" s="9" t="s">
        <v>1183</v>
      </c>
    </row>
    <row r="372" spans="1:7" x14ac:dyDescent="0.35">
      <c r="A372" s="9" t="s">
        <v>1063</v>
      </c>
      <c r="B372" s="9" t="s">
        <v>1064</v>
      </c>
      <c r="C372" s="9" t="s">
        <v>884</v>
      </c>
      <c r="D372" s="9" t="s">
        <v>930</v>
      </c>
      <c r="E372" s="9" t="s">
        <v>1183</v>
      </c>
      <c r="F372" s="9" t="s">
        <v>1183</v>
      </c>
      <c r="G372" s="9" t="s">
        <v>1183</v>
      </c>
    </row>
    <row r="373" spans="1:7" x14ac:dyDescent="0.35">
      <c r="A373" s="9" t="s">
        <v>685</v>
      </c>
      <c r="B373" s="9" t="s">
        <v>686</v>
      </c>
      <c r="C373" s="9" t="s">
        <v>884</v>
      </c>
      <c r="D373" s="9" t="s">
        <v>930</v>
      </c>
      <c r="E373" s="9" t="s">
        <v>1185</v>
      </c>
      <c r="F373" s="9" t="s">
        <v>1183</v>
      </c>
      <c r="G373" s="9" t="s">
        <v>1185</v>
      </c>
    </row>
    <row r="374" spans="1:7" x14ac:dyDescent="0.35">
      <c r="A374" s="9" t="s">
        <v>687</v>
      </c>
      <c r="B374" s="9" t="s">
        <v>688</v>
      </c>
      <c r="C374" s="9" t="s">
        <v>884</v>
      </c>
      <c r="D374" s="9" t="s">
        <v>930</v>
      </c>
      <c r="E374" s="9" t="s">
        <v>1183</v>
      </c>
      <c r="F374" s="9" t="s">
        <v>1183</v>
      </c>
      <c r="G374" s="9" t="s">
        <v>1183</v>
      </c>
    </row>
    <row r="375" spans="1:7" x14ac:dyDescent="0.35">
      <c r="A375" s="9" t="s">
        <v>1065</v>
      </c>
      <c r="B375" s="9" t="s">
        <v>1066</v>
      </c>
      <c r="C375" s="9" t="s">
        <v>884</v>
      </c>
      <c r="D375" s="9" t="s">
        <v>930</v>
      </c>
      <c r="E375" s="9" t="s">
        <v>1183</v>
      </c>
      <c r="F375" s="9" t="s">
        <v>1183</v>
      </c>
      <c r="G375" s="9" t="s">
        <v>1183</v>
      </c>
    </row>
    <row r="376" spans="1:7" x14ac:dyDescent="0.35">
      <c r="A376" s="9" t="s">
        <v>689</v>
      </c>
      <c r="B376" s="9" t="s">
        <v>690</v>
      </c>
      <c r="C376" s="9" t="s">
        <v>884</v>
      </c>
      <c r="D376" s="9" t="s">
        <v>930</v>
      </c>
      <c r="E376" s="9" t="s">
        <v>1185</v>
      </c>
      <c r="F376" s="9" t="s">
        <v>1183</v>
      </c>
      <c r="G376" s="9" t="s">
        <v>1185</v>
      </c>
    </row>
    <row r="377" spans="1:7" x14ac:dyDescent="0.35">
      <c r="A377" s="9" t="s">
        <v>1067</v>
      </c>
      <c r="B377" s="9" t="s">
        <v>1068</v>
      </c>
      <c r="C377" s="9" t="s">
        <v>884</v>
      </c>
      <c r="D377" s="9" t="s">
        <v>930</v>
      </c>
      <c r="E377" s="9" t="s">
        <v>1183</v>
      </c>
      <c r="F377" s="9" t="s">
        <v>1183</v>
      </c>
      <c r="G377" s="9" t="s">
        <v>1183</v>
      </c>
    </row>
    <row r="378" spans="1:7" x14ac:dyDescent="0.35">
      <c r="A378" s="9" t="s">
        <v>1069</v>
      </c>
      <c r="B378" s="9" t="s">
        <v>1070</v>
      </c>
      <c r="C378" s="9" t="s">
        <v>884</v>
      </c>
      <c r="D378" s="9" t="s">
        <v>930</v>
      </c>
      <c r="E378" s="9" t="s">
        <v>1183</v>
      </c>
      <c r="F378" s="9" t="s">
        <v>1183</v>
      </c>
      <c r="G378" s="9" t="s">
        <v>1183</v>
      </c>
    </row>
    <row r="379" spans="1:7" x14ac:dyDescent="0.35">
      <c r="A379" s="9" t="s">
        <v>1071</v>
      </c>
      <c r="B379" s="9" t="s">
        <v>1072</v>
      </c>
      <c r="C379" s="9" t="s">
        <v>884</v>
      </c>
      <c r="D379" s="9" t="s">
        <v>930</v>
      </c>
      <c r="E379" s="9" t="s">
        <v>1183</v>
      </c>
      <c r="F379" s="9" t="s">
        <v>1183</v>
      </c>
      <c r="G379" s="9" t="s">
        <v>1183</v>
      </c>
    </row>
    <row r="380" spans="1:7" x14ac:dyDescent="0.35">
      <c r="A380" s="9" t="s">
        <v>691</v>
      </c>
      <c r="B380" s="9" t="s">
        <v>692</v>
      </c>
      <c r="C380" s="9" t="s">
        <v>884</v>
      </c>
      <c r="D380" s="9" t="s">
        <v>930</v>
      </c>
      <c r="E380" s="9" t="s">
        <v>1185</v>
      </c>
      <c r="F380" s="9" t="s">
        <v>1183</v>
      </c>
      <c r="G380" s="9" t="s">
        <v>1185</v>
      </c>
    </row>
    <row r="381" spans="1:7" x14ac:dyDescent="0.35">
      <c r="A381" s="9" t="s">
        <v>693</v>
      </c>
      <c r="B381" s="9" t="s">
        <v>694</v>
      </c>
      <c r="C381" s="9" t="s">
        <v>884</v>
      </c>
      <c r="D381" s="9" t="s">
        <v>930</v>
      </c>
      <c r="E381" s="9" t="s">
        <v>1185</v>
      </c>
      <c r="F381" s="9" t="s">
        <v>1183</v>
      </c>
      <c r="G381" s="9" t="s">
        <v>1185</v>
      </c>
    </row>
    <row r="382" spans="1:7" x14ac:dyDescent="0.35">
      <c r="A382" s="9" t="s">
        <v>695</v>
      </c>
      <c r="B382" s="9" t="s">
        <v>696</v>
      </c>
      <c r="C382" s="9" t="s">
        <v>884</v>
      </c>
      <c r="D382" s="9" t="s">
        <v>930</v>
      </c>
      <c r="E382" s="9" t="s">
        <v>1185</v>
      </c>
      <c r="F382" s="9" t="s">
        <v>1183</v>
      </c>
      <c r="G382" s="9" t="s">
        <v>1185</v>
      </c>
    </row>
    <row r="383" spans="1:7" x14ac:dyDescent="0.35">
      <c r="A383" s="9" t="s">
        <v>697</v>
      </c>
      <c r="B383" s="9" t="s">
        <v>698</v>
      </c>
      <c r="C383" s="9" t="s">
        <v>884</v>
      </c>
      <c r="D383" s="9" t="s">
        <v>930</v>
      </c>
      <c r="E383" s="9" t="s">
        <v>1185</v>
      </c>
      <c r="F383" s="9" t="s">
        <v>1183</v>
      </c>
      <c r="G383" s="9" t="s">
        <v>1185</v>
      </c>
    </row>
    <row r="384" spans="1:7" x14ac:dyDescent="0.35">
      <c r="A384" s="9" t="s">
        <v>699</v>
      </c>
      <c r="B384" s="9" t="s">
        <v>1075</v>
      </c>
      <c r="C384" s="9" t="s">
        <v>884</v>
      </c>
      <c r="D384" s="9" t="s">
        <v>930</v>
      </c>
      <c r="E384" s="9" t="s">
        <v>1185</v>
      </c>
      <c r="F384" s="9" t="s">
        <v>1183</v>
      </c>
      <c r="G384" s="9" t="s">
        <v>1185</v>
      </c>
    </row>
    <row r="385" spans="1:7" x14ac:dyDescent="0.35">
      <c r="A385" s="9" t="s">
        <v>701</v>
      </c>
      <c r="B385" s="9" t="s">
        <v>702</v>
      </c>
      <c r="C385" s="9" t="s">
        <v>884</v>
      </c>
      <c r="D385" s="9" t="s">
        <v>930</v>
      </c>
      <c r="E385" s="9" t="s">
        <v>1185</v>
      </c>
      <c r="F385" s="9" t="s">
        <v>1183</v>
      </c>
      <c r="G385" s="9" t="s">
        <v>1185</v>
      </c>
    </row>
    <row r="386" spans="1:7" x14ac:dyDescent="0.35">
      <c r="A386" s="9" t="s">
        <v>703</v>
      </c>
      <c r="B386" s="9" t="s">
        <v>704</v>
      </c>
      <c r="C386" s="9" t="s">
        <v>884</v>
      </c>
      <c r="D386" s="9" t="s">
        <v>930</v>
      </c>
      <c r="E386" s="9" t="s">
        <v>1185</v>
      </c>
      <c r="F386" s="9" t="s">
        <v>1183</v>
      </c>
      <c r="G386" s="9" t="s">
        <v>1185</v>
      </c>
    </row>
    <row r="387" spans="1:7" x14ac:dyDescent="0.35">
      <c r="A387" s="9" t="s">
        <v>705</v>
      </c>
      <c r="B387" s="9" t="s">
        <v>706</v>
      </c>
      <c r="C387" s="9" t="s">
        <v>884</v>
      </c>
      <c r="D387" s="9" t="s">
        <v>930</v>
      </c>
      <c r="E387" s="9" t="s">
        <v>1185</v>
      </c>
      <c r="F387" s="9" t="s">
        <v>1183</v>
      </c>
      <c r="G387" s="9" t="s">
        <v>1185</v>
      </c>
    </row>
    <row r="388" spans="1:7" x14ac:dyDescent="0.35">
      <c r="A388" s="9" t="s">
        <v>707</v>
      </c>
      <c r="B388" s="9" t="s">
        <v>708</v>
      </c>
      <c r="C388" s="9" t="s">
        <v>884</v>
      </c>
      <c r="D388" s="9" t="s">
        <v>930</v>
      </c>
      <c r="E388" s="9" t="s">
        <v>1185</v>
      </c>
      <c r="F388" s="9" t="s">
        <v>1183</v>
      </c>
      <c r="G388" s="9" t="s">
        <v>1185</v>
      </c>
    </row>
    <row r="389" spans="1:7" x14ac:dyDescent="0.35">
      <c r="A389" s="9" t="s">
        <v>709</v>
      </c>
      <c r="B389" s="9" t="s">
        <v>710</v>
      </c>
      <c r="C389" s="9" t="s">
        <v>884</v>
      </c>
      <c r="D389" s="9" t="s">
        <v>930</v>
      </c>
      <c r="E389" s="9" t="s">
        <v>1183</v>
      </c>
      <c r="F389" s="9" t="s">
        <v>1183</v>
      </c>
      <c r="G389" s="9" t="s">
        <v>1183</v>
      </c>
    </row>
    <row r="390" spans="1:7" x14ac:dyDescent="0.35">
      <c r="A390" s="9" t="s">
        <v>711</v>
      </c>
      <c r="B390" s="9" t="s">
        <v>1263</v>
      </c>
      <c r="C390" s="9" t="s">
        <v>884</v>
      </c>
      <c r="D390" s="9" t="s">
        <v>930</v>
      </c>
      <c r="E390" s="9" t="s">
        <v>1185</v>
      </c>
      <c r="F390" s="9" t="s">
        <v>1183</v>
      </c>
      <c r="G390" s="9" t="s">
        <v>1185</v>
      </c>
    </row>
    <row r="391" spans="1:7" x14ac:dyDescent="0.35">
      <c r="A391" s="9" t="s">
        <v>713</v>
      </c>
      <c r="B391" s="9" t="s">
        <v>714</v>
      </c>
      <c r="C391" s="9" t="s">
        <v>884</v>
      </c>
      <c r="D391" s="9" t="s">
        <v>930</v>
      </c>
      <c r="E391" s="9" t="s">
        <v>1185</v>
      </c>
      <c r="F391" s="9" t="s">
        <v>1183</v>
      </c>
      <c r="G391" s="9" t="s">
        <v>1185</v>
      </c>
    </row>
    <row r="392" spans="1:7" x14ac:dyDescent="0.35">
      <c r="A392" s="9" t="s">
        <v>715</v>
      </c>
      <c r="B392" s="9" t="s">
        <v>716</v>
      </c>
      <c r="C392" s="9" t="s">
        <v>884</v>
      </c>
      <c r="D392" s="9" t="s">
        <v>930</v>
      </c>
      <c r="E392" s="9" t="s">
        <v>1185</v>
      </c>
      <c r="F392" s="9" t="s">
        <v>1183</v>
      </c>
      <c r="G392" s="9" t="s">
        <v>1185</v>
      </c>
    </row>
    <row r="393" spans="1:7" x14ac:dyDescent="0.35">
      <c r="A393" s="9" t="s">
        <v>717</v>
      </c>
      <c r="B393" s="9" t="s">
        <v>718</v>
      </c>
      <c r="C393" s="9" t="s">
        <v>884</v>
      </c>
      <c r="D393" s="9" t="s">
        <v>930</v>
      </c>
      <c r="E393" s="9" t="s">
        <v>1185</v>
      </c>
      <c r="F393" s="9" t="s">
        <v>1183</v>
      </c>
      <c r="G393" s="9" t="s">
        <v>1185</v>
      </c>
    </row>
    <row r="394" spans="1:7" x14ac:dyDescent="0.35">
      <c r="A394" s="9" t="s">
        <v>719</v>
      </c>
      <c r="B394" s="9" t="s">
        <v>720</v>
      </c>
      <c r="C394" s="9" t="s">
        <v>884</v>
      </c>
      <c r="D394" s="9" t="s">
        <v>930</v>
      </c>
      <c r="E394" s="9" t="s">
        <v>1185</v>
      </c>
      <c r="F394" s="9" t="s">
        <v>1183</v>
      </c>
      <c r="G394" s="9" t="s">
        <v>1185</v>
      </c>
    </row>
    <row r="395" spans="1:7" x14ac:dyDescent="0.35">
      <c r="A395" s="9" t="s">
        <v>721</v>
      </c>
      <c r="B395" s="9" t="s">
        <v>722</v>
      </c>
      <c r="C395" s="9" t="s">
        <v>884</v>
      </c>
      <c r="D395" s="9" t="s">
        <v>930</v>
      </c>
      <c r="E395" s="9" t="s">
        <v>1185</v>
      </c>
      <c r="F395" s="9" t="s">
        <v>1183</v>
      </c>
      <c r="G395" s="9" t="s">
        <v>1185</v>
      </c>
    </row>
    <row r="396" spans="1:7" x14ac:dyDescent="0.35">
      <c r="A396" s="9" t="s">
        <v>1084</v>
      </c>
      <c r="B396" s="9" t="s">
        <v>1085</v>
      </c>
      <c r="C396" s="9" t="s">
        <v>884</v>
      </c>
      <c r="D396" s="9" t="s">
        <v>930</v>
      </c>
      <c r="E396" s="9" t="s">
        <v>1183</v>
      </c>
      <c r="F396" s="9" t="s">
        <v>1183</v>
      </c>
      <c r="G396" s="9" t="s">
        <v>1183</v>
      </c>
    </row>
    <row r="397" spans="1:7" x14ac:dyDescent="0.35">
      <c r="A397" s="9" t="s">
        <v>1086</v>
      </c>
      <c r="B397" s="9" t="s">
        <v>1087</v>
      </c>
      <c r="C397" s="9" t="s">
        <v>884</v>
      </c>
      <c r="D397" s="9" t="s">
        <v>930</v>
      </c>
      <c r="E397" s="9" t="s">
        <v>1183</v>
      </c>
      <c r="F397" s="9" t="s">
        <v>1183</v>
      </c>
      <c r="G397" s="9" t="s">
        <v>1183</v>
      </c>
    </row>
    <row r="398" spans="1:7" x14ac:dyDescent="0.35">
      <c r="A398" s="9" t="s">
        <v>723</v>
      </c>
      <c r="B398" s="9" t="s">
        <v>724</v>
      </c>
      <c r="C398" s="9" t="s">
        <v>884</v>
      </c>
      <c r="D398" s="9" t="s">
        <v>930</v>
      </c>
      <c r="E398" s="9" t="s">
        <v>1185</v>
      </c>
      <c r="F398" s="9" t="s">
        <v>1183</v>
      </c>
      <c r="G398" s="9" t="s">
        <v>1185</v>
      </c>
    </row>
    <row r="399" spans="1:7" x14ac:dyDescent="0.35">
      <c r="A399" s="9" t="s">
        <v>725</v>
      </c>
      <c r="B399" s="9" t="s">
        <v>1264</v>
      </c>
      <c r="C399" s="9" t="s">
        <v>884</v>
      </c>
      <c r="D399" s="9" t="s">
        <v>930</v>
      </c>
      <c r="E399" s="9" t="s">
        <v>1185</v>
      </c>
      <c r="F399" s="9" t="s">
        <v>1183</v>
      </c>
      <c r="G399" s="9" t="s">
        <v>1185</v>
      </c>
    </row>
    <row r="400" spans="1:7" x14ac:dyDescent="0.35">
      <c r="A400" s="9" t="s">
        <v>727</v>
      </c>
      <c r="B400" s="9" t="s">
        <v>728</v>
      </c>
      <c r="C400" s="9" t="s">
        <v>884</v>
      </c>
      <c r="D400" s="9" t="s">
        <v>930</v>
      </c>
      <c r="E400" s="9" t="s">
        <v>1185</v>
      </c>
      <c r="F400" s="9" t="s">
        <v>1183</v>
      </c>
      <c r="G400" s="9" t="s">
        <v>1185</v>
      </c>
    </row>
    <row r="401" spans="1:7" x14ac:dyDescent="0.35">
      <c r="A401" s="9" t="s">
        <v>729</v>
      </c>
      <c r="B401" s="9" t="s">
        <v>1265</v>
      </c>
      <c r="C401" s="9" t="s">
        <v>884</v>
      </c>
      <c r="D401" s="9" t="s">
        <v>930</v>
      </c>
      <c r="E401" s="9" t="s">
        <v>1185</v>
      </c>
      <c r="F401" s="9" t="s">
        <v>1183</v>
      </c>
      <c r="G401" s="9" t="s">
        <v>1185</v>
      </c>
    </row>
    <row r="402" spans="1:7" x14ac:dyDescent="0.35">
      <c r="A402" s="9" t="s">
        <v>1089</v>
      </c>
      <c r="B402" s="9" t="s">
        <v>1090</v>
      </c>
      <c r="C402" s="9" t="s">
        <v>884</v>
      </c>
      <c r="D402" s="9" t="s">
        <v>930</v>
      </c>
      <c r="E402" s="9" t="s">
        <v>1183</v>
      </c>
      <c r="F402" s="9" t="s">
        <v>1183</v>
      </c>
      <c r="G402" s="9" t="s">
        <v>1183</v>
      </c>
    </row>
    <row r="403" spans="1:7" x14ac:dyDescent="0.35">
      <c r="A403" s="9" t="s">
        <v>731</v>
      </c>
      <c r="B403" s="9" t="s">
        <v>732</v>
      </c>
      <c r="C403" s="9" t="s">
        <v>884</v>
      </c>
      <c r="D403" s="9" t="s">
        <v>930</v>
      </c>
      <c r="E403" s="9" t="s">
        <v>1185</v>
      </c>
      <c r="F403" s="9" t="s">
        <v>1183</v>
      </c>
      <c r="G403" s="9" t="s">
        <v>1185</v>
      </c>
    </row>
    <row r="404" spans="1:7" x14ac:dyDescent="0.35">
      <c r="A404" s="9" t="s">
        <v>1091</v>
      </c>
      <c r="B404" s="9" t="s">
        <v>1092</v>
      </c>
      <c r="C404" s="9" t="s">
        <v>884</v>
      </c>
      <c r="D404" s="9" t="s">
        <v>930</v>
      </c>
      <c r="E404" s="9" t="s">
        <v>1183</v>
      </c>
      <c r="F404" s="9" t="s">
        <v>1183</v>
      </c>
      <c r="G404" s="9" t="s">
        <v>1183</v>
      </c>
    </row>
    <row r="405" spans="1:7" x14ac:dyDescent="0.35">
      <c r="A405" s="9" t="s">
        <v>733</v>
      </c>
      <c r="B405" s="9" t="s">
        <v>734</v>
      </c>
      <c r="C405" s="9" t="s">
        <v>884</v>
      </c>
      <c r="D405" s="9" t="s">
        <v>930</v>
      </c>
      <c r="E405" s="9" t="s">
        <v>1185</v>
      </c>
      <c r="F405" s="9" t="s">
        <v>1183</v>
      </c>
      <c r="G405" s="9" t="s">
        <v>1185</v>
      </c>
    </row>
    <row r="406" spans="1:7" x14ac:dyDescent="0.35">
      <c r="A406" s="9" t="s">
        <v>735</v>
      </c>
      <c r="B406" s="9" t="s">
        <v>736</v>
      </c>
      <c r="C406" s="9" t="s">
        <v>884</v>
      </c>
      <c r="D406" s="9" t="s">
        <v>930</v>
      </c>
      <c r="E406" s="9" t="s">
        <v>1185</v>
      </c>
      <c r="F406" s="9" t="s">
        <v>1183</v>
      </c>
      <c r="G406" s="9" t="s">
        <v>1185</v>
      </c>
    </row>
    <row r="407" spans="1:7" x14ac:dyDescent="0.35">
      <c r="A407" s="9" t="s">
        <v>737</v>
      </c>
      <c r="B407" s="9" t="s">
        <v>738</v>
      </c>
      <c r="C407" s="9" t="s">
        <v>884</v>
      </c>
      <c r="D407" s="9" t="s">
        <v>930</v>
      </c>
      <c r="E407" s="9" t="s">
        <v>1185</v>
      </c>
      <c r="F407" s="9" t="s">
        <v>1183</v>
      </c>
      <c r="G407" s="9" t="s">
        <v>1185</v>
      </c>
    </row>
    <row r="408" spans="1:7" x14ac:dyDescent="0.35">
      <c r="A408" s="9" t="s">
        <v>739</v>
      </c>
      <c r="B408" s="9" t="s">
        <v>740</v>
      </c>
      <c r="C408" s="9" t="s">
        <v>884</v>
      </c>
      <c r="D408" s="9" t="s">
        <v>930</v>
      </c>
      <c r="E408" s="9" t="s">
        <v>1185</v>
      </c>
      <c r="F408" s="9" t="s">
        <v>1183</v>
      </c>
      <c r="G408" s="9" t="s">
        <v>1185</v>
      </c>
    </row>
    <row r="409" spans="1:7" x14ac:dyDescent="0.35">
      <c r="A409" s="9" t="s">
        <v>741</v>
      </c>
      <c r="B409" s="9" t="s">
        <v>1266</v>
      </c>
      <c r="C409" s="9" t="s">
        <v>884</v>
      </c>
      <c r="D409" s="9" t="s">
        <v>930</v>
      </c>
      <c r="E409" s="9" t="s">
        <v>1185</v>
      </c>
      <c r="F409" s="9" t="s">
        <v>1183</v>
      </c>
      <c r="G409" s="9" t="s">
        <v>1185</v>
      </c>
    </row>
    <row r="410" spans="1:7" x14ac:dyDescent="0.35">
      <c r="A410" s="9" t="s">
        <v>1095</v>
      </c>
      <c r="B410" s="9" t="s">
        <v>1096</v>
      </c>
      <c r="C410" s="9" t="s">
        <v>884</v>
      </c>
      <c r="D410" s="9" t="s">
        <v>930</v>
      </c>
      <c r="E410" s="9" t="s">
        <v>1183</v>
      </c>
      <c r="F410" s="9" t="s">
        <v>1183</v>
      </c>
      <c r="G410" s="9" t="s">
        <v>1183</v>
      </c>
    </row>
    <row r="411" spans="1:7" x14ac:dyDescent="0.35">
      <c r="A411" s="9" t="s">
        <v>743</v>
      </c>
      <c r="B411" s="9" t="s">
        <v>744</v>
      </c>
      <c r="C411" s="9" t="s">
        <v>884</v>
      </c>
      <c r="D411" s="9" t="s">
        <v>930</v>
      </c>
      <c r="E411" s="9" t="s">
        <v>1185</v>
      </c>
      <c r="F411" s="9" t="s">
        <v>1183</v>
      </c>
      <c r="G411" s="9" t="s">
        <v>1185</v>
      </c>
    </row>
    <row r="412" spans="1:7" x14ac:dyDescent="0.35">
      <c r="A412" s="9" t="s">
        <v>745</v>
      </c>
      <c r="B412" s="9" t="s">
        <v>746</v>
      </c>
      <c r="C412" s="9" t="s">
        <v>884</v>
      </c>
      <c r="D412" s="9" t="s">
        <v>930</v>
      </c>
      <c r="E412" s="9" t="s">
        <v>1185</v>
      </c>
      <c r="F412" s="9" t="s">
        <v>1183</v>
      </c>
      <c r="G412" s="9" t="s">
        <v>1185</v>
      </c>
    </row>
    <row r="413" spans="1:7" x14ac:dyDescent="0.35">
      <c r="A413" s="9" t="s">
        <v>747</v>
      </c>
      <c r="B413" s="9" t="s">
        <v>748</v>
      </c>
      <c r="C413" s="9" t="s">
        <v>884</v>
      </c>
      <c r="D413" s="9" t="s">
        <v>930</v>
      </c>
      <c r="E413" s="9" t="s">
        <v>1185</v>
      </c>
      <c r="F413" s="9" t="s">
        <v>1183</v>
      </c>
      <c r="G413" s="9" t="s">
        <v>1185</v>
      </c>
    </row>
    <row r="414" spans="1:7" x14ac:dyDescent="0.35">
      <c r="A414" s="9" t="s">
        <v>749</v>
      </c>
      <c r="B414" s="9" t="s">
        <v>750</v>
      </c>
      <c r="C414" s="9" t="s">
        <v>884</v>
      </c>
      <c r="D414" s="9" t="s">
        <v>930</v>
      </c>
      <c r="E414" s="9" t="s">
        <v>1185</v>
      </c>
      <c r="F414" s="9" t="s">
        <v>1183</v>
      </c>
      <c r="G414" s="9" t="s">
        <v>1185</v>
      </c>
    </row>
    <row r="415" spans="1:7" x14ac:dyDescent="0.35">
      <c r="A415" s="9" t="s">
        <v>751</v>
      </c>
      <c r="B415" s="9" t="s">
        <v>752</v>
      </c>
      <c r="C415" s="9" t="s">
        <v>884</v>
      </c>
      <c r="D415" s="9" t="s">
        <v>930</v>
      </c>
      <c r="E415" s="9" t="s">
        <v>1185</v>
      </c>
      <c r="F415" s="9" t="s">
        <v>1183</v>
      </c>
      <c r="G415" s="9" t="s">
        <v>1185</v>
      </c>
    </row>
    <row r="416" spans="1:7" x14ac:dyDescent="0.35">
      <c r="A416" s="9" t="s">
        <v>753</v>
      </c>
      <c r="B416" s="9" t="s">
        <v>1098</v>
      </c>
      <c r="C416" s="9" t="s">
        <v>884</v>
      </c>
      <c r="D416" s="9" t="s">
        <v>930</v>
      </c>
      <c r="E416" s="9" t="s">
        <v>1183</v>
      </c>
      <c r="F416" s="9" t="s">
        <v>1183</v>
      </c>
      <c r="G416" s="9" t="s">
        <v>1183</v>
      </c>
    </row>
    <row r="417" spans="1:7" x14ac:dyDescent="0.35">
      <c r="A417" s="9" t="s">
        <v>755</v>
      </c>
      <c r="B417" s="9" t="s">
        <v>756</v>
      </c>
      <c r="C417" s="9" t="s">
        <v>884</v>
      </c>
      <c r="D417" s="9" t="s">
        <v>930</v>
      </c>
      <c r="E417" s="9" t="s">
        <v>1185</v>
      </c>
      <c r="F417" s="9" t="s">
        <v>1183</v>
      </c>
      <c r="G417" s="9" t="s">
        <v>1185</v>
      </c>
    </row>
    <row r="418" spans="1:7" x14ac:dyDescent="0.35">
      <c r="A418" s="9" t="s">
        <v>757</v>
      </c>
      <c r="B418" s="9" t="s">
        <v>758</v>
      </c>
      <c r="C418" s="9" t="s">
        <v>884</v>
      </c>
      <c r="D418" s="9" t="s">
        <v>930</v>
      </c>
      <c r="E418" s="9" t="s">
        <v>1185</v>
      </c>
      <c r="F418" s="9" t="s">
        <v>1183</v>
      </c>
      <c r="G418" s="9" t="s">
        <v>1185</v>
      </c>
    </row>
    <row r="419" spans="1:7" x14ac:dyDescent="0.35">
      <c r="A419" s="9" t="s">
        <v>759</v>
      </c>
      <c r="B419" s="9" t="s">
        <v>760</v>
      </c>
      <c r="C419" s="9" t="s">
        <v>884</v>
      </c>
      <c r="D419" s="9" t="s">
        <v>930</v>
      </c>
      <c r="E419" s="9" t="s">
        <v>1185</v>
      </c>
      <c r="F419" s="9" t="s">
        <v>1183</v>
      </c>
      <c r="G419" s="9" t="s">
        <v>1185</v>
      </c>
    </row>
    <row r="420" spans="1:7" x14ac:dyDescent="0.35">
      <c r="A420" s="9" t="s">
        <v>1099</v>
      </c>
      <c r="B420" s="9" t="s">
        <v>1100</v>
      </c>
      <c r="C420" s="9" t="s">
        <v>884</v>
      </c>
      <c r="D420" s="9" t="s">
        <v>930</v>
      </c>
      <c r="E420" s="9" t="s">
        <v>1183</v>
      </c>
      <c r="F420" s="9" t="s">
        <v>1183</v>
      </c>
      <c r="G420" s="9" t="s">
        <v>1183</v>
      </c>
    </row>
    <row r="421" spans="1:7" x14ac:dyDescent="0.35">
      <c r="A421" s="9" t="s">
        <v>761</v>
      </c>
      <c r="B421" s="9" t="s">
        <v>762</v>
      </c>
      <c r="C421" s="9" t="s">
        <v>884</v>
      </c>
      <c r="D421" s="9" t="s">
        <v>930</v>
      </c>
      <c r="E421" s="9" t="s">
        <v>1185</v>
      </c>
      <c r="F421" s="9" t="s">
        <v>1183</v>
      </c>
      <c r="G421" s="9" t="s">
        <v>1185</v>
      </c>
    </row>
    <row r="422" spans="1:7" x14ac:dyDescent="0.35">
      <c r="A422" s="9" t="s">
        <v>763</v>
      </c>
      <c r="B422" s="9" t="s">
        <v>1267</v>
      </c>
      <c r="C422" s="9" t="s">
        <v>884</v>
      </c>
      <c r="D422" s="9" t="s">
        <v>930</v>
      </c>
      <c r="E422" s="9" t="s">
        <v>1185</v>
      </c>
      <c r="F422" s="9" t="s">
        <v>1183</v>
      </c>
      <c r="G422" s="9" t="s">
        <v>1185</v>
      </c>
    </row>
    <row r="423" spans="1:7" x14ac:dyDescent="0.35">
      <c r="A423" s="9" t="s">
        <v>765</v>
      </c>
      <c r="B423" s="9" t="s">
        <v>766</v>
      </c>
      <c r="C423" s="9" t="s">
        <v>884</v>
      </c>
      <c r="D423" s="9" t="s">
        <v>930</v>
      </c>
      <c r="E423" s="9" t="s">
        <v>1185</v>
      </c>
      <c r="F423" s="9" t="s">
        <v>1183</v>
      </c>
      <c r="G423" s="9" t="s">
        <v>1185</v>
      </c>
    </row>
    <row r="424" spans="1:7" x14ac:dyDescent="0.35">
      <c r="A424" s="9" t="s">
        <v>1102</v>
      </c>
      <c r="B424" s="9" t="s">
        <v>1103</v>
      </c>
      <c r="C424" s="9" t="s">
        <v>884</v>
      </c>
      <c r="D424" s="9" t="s">
        <v>930</v>
      </c>
      <c r="E424" s="9" t="s">
        <v>1183</v>
      </c>
      <c r="F424" s="9" t="s">
        <v>1183</v>
      </c>
      <c r="G424" s="9" t="s">
        <v>1183</v>
      </c>
    </row>
    <row r="425" spans="1:7" x14ac:dyDescent="0.35">
      <c r="A425" s="9" t="s">
        <v>767</v>
      </c>
      <c r="B425" s="9" t="s">
        <v>1268</v>
      </c>
      <c r="C425" s="9" t="s">
        <v>884</v>
      </c>
      <c r="D425" s="9" t="s">
        <v>930</v>
      </c>
      <c r="E425" s="9" t="s">
        <v>1185</v>
      </c>
      <c r="F425" s="9" t="s">
        <v>1183</v>
      </c>
      <c r="G425" s="9" t="s">
        <v>1185</v>
      </c>
    </row>
    <row r="426" spans="1:7" x14ac:dyDescent="0.35">
      <c r="A426" s="9" t="s">
        <v>769</v>
      </c>
      <c r="B426" s="9" t="s">
        <v>1269</v>
      </c>
      <c r="C426" s="9" t="s">
        <v>884</v>
      </c>
      <c r="D426" s="9" t="s">
        <v>930</v>
      </c>
      <c r="E426" s="9" t="s">
        <v>1185</v>
      </c>
      <c r="F426" s="9" t="s">
        <v>1183</v>
      </c>
      <c r="G426" s="9" t="s">
        <v>1185</v>
      </c>
    </row>
    <row r="427" spans="1:7" x14ac:dyDescent="0.35">
      <c r="A427" s="9" t="s">
        <v>1105</v>
      </c>
      <c r="B427" s="9" t="s">
        <v>1106</v>
      </c>
      <c r="C427" s="9" t="s">
        <v>884</v>
      </c>
      <c r="D427" s="9" t="s">
        <v>930</v>
      </c>
      <c r="E427" s="9" t="s">
        <v>1183</v>
      </c>
      <c r="F427" s="9" t="s">
        <v>1183</v>
      </c>
      <c r="G427" s="9" t="s">
        <v>1183</v>
      </c>
    </row>
    <row r="428" spans="1:7" x14ac:dyDescent="0.35">
      <c r="A428" s="9" t="s">
        <v>771</v>
      </c>
      <c r="B428" s="9" t="s">
        <v>772</v>
      </c>
      <c r="C428" s="9" t="s">
        <v>884</v>
      </c>
      <c r="D428" s="9" t="s">
        <v>930</v>
      </c>
      <c r="E428" s="9" t="s">
        <v>1185</v>
      </c>
      <c r="F428" s="9" t="s">
        <v>1183</v>
      </c>
      <c r="G428" s="9" t="s">
        <v>1185</v>
      </c>
    </row>
    <row r="429" spans="1:7" x14ac:dyDescent="0.35">
      <c r="A429" s="9" t="s">
        <v>773</v>
      </c>
      <c r="B429" s="9" t="s">
        <v>774</v>
      </c>
      <c r="C429" s="9" t="s">
        <v>884</v>
      </c>
      <c r="D429" s="9" t="s">
        <v>930</v>
      </c>
      <c r="E429" s="9" t="s">
        <v>1185</v>
      </c>
      <c r="F429" s="9" t="s">
        <v>1183</v>
      </c>
      <c r="G429" s="9" t="s">
        <v>1185</v>
      </c>
    </row>
    <row r="430" spans="1:7" x14ac:dyDescent="0.35">
      <c r="A430" s="9" t="s">
        <v>775</v>
      </c>
      <c r="B430" s="9" t="s">
        <v>776</v>
      </c>
      <c r="C430" s="9" t="s">
        <v>884</v>
      </c>
      <c r="D430" s="9" t="s">
        <v>930</v>
      </c>
      <c r="E430" s="9" t="s">
        <v>1185</v>
      </c>
      <c r="F430" s="9" t="s">
        <v>1183</v>
      </c>
      <c r="G430" s="9" t="s">
        <v>1185</v>
      </c>
    </row>
    <row r="431" spans="1:7" x14ac:dyDescent="0.35">
      <c r="A431" s="9" t="s">
        <v>777</v>
      </c>
      <c r="B431" s="9" t="s">
        <v>778</v>
      </c>
      <c r="C431" s="9" t="s">
        <v>884</v>
      </c>
      <c r="D431" s="9" t="s">
        <v>930</v>
      </c>
      <c r="E431" s="9" t="s">
        <v>1185</v>
      </c>
      <c r="F431" s="9" t="s">
        <v>1183</v>
      </c>
      <c r="G431" s="9" t="s">
        <v>1185</v>
      </c>
    </row>
    <row r="432" spans="1:7" x14ac:dyDescent="0.35">
      <c r="A432" s="9" t="s">
        <v>779</v>
      </c>
      <c r="B432" s="9" t="s">
        <v>780</v>
      </c>
      <c r="C432" s="9" t="s">
        <v>884</v>
      </c>
      <c r="D432" s="9" t="s">
        <v>930</v>
      </c>
      <c r="E432" s="9" t="s">
        <v>1185</v>
      </c>
      <c r="F432" s="9" t="s">
        <v>1183</v>
      </c>
      <c r="G432" s="9" t="s">
        <v>1185</v>
      </c>
    </row>
    <row r="433" spans="1:7" x14ac:dyDescent="0.35">
      <c r="A433" s="9" t="s">
        <v>781</v>
      </c>
      <c r="B433" s="9" t="s">
        <v>782</v>
      </c>
      <c r="C433" s="9" t="s">
        <v>881</v>
      </c>
      <c r="D433" s="9" t="s">
        <v>930</v>
      </c>
      <c r="E433" s="9" t="s">
        <v>1185</v>
      </c>
      <c r="F433" s="9" t="s">
        <v>1183</v>
      </c>
      <c r="G433" s="9" t="s">
        <v>1185</v>
      </c>
    </row>
    <row r="434" spans="1:7" x14ac:dyDescent="0.35">
      <c r="A434" s="9" t="s">
        <v>783</v>
      </c>
      <c r="B434" s="9" t="s">
        <v>784</v>
      </c>
      <c r="C434" s="9" t="s">
        <v>881</v>
      </c>
      <c r="D434" s="9" t="s">
        <v>930</v>
      </c>
      <c r="E434" s="9" t="s">
        <v>1185</v>
      </c>
      <c r="F434" s="9" t="s">
        <v>1183</v>
      </c>
      <c r="G434" s="9" t="s">
        <v>1185</v>
      </c>
    </row>
    <row r="435" spans="1:7" x14ac:dyDescent="0.35">
      <c r="A435" s="9" t="s">
        <v>785</v>
      </c>
      <c r="B435" s="9" t="s">
        <v>786</v>
      </c>
      <c r="C435" s="9" t="s">
        <v>881</v>
      </c>
      <c r="D435" s="9" t="s">
        <v>930</v>
      </c>
      <c r="E435" s="9" t="s">
        <v>1183</v>
      </c>
      <c r="F435" s="9" t="s">
        <v>1183</v>
      </c>
      <c r="G435" s="9" t="s">
        <v>1183</v>
      </c>
    </row>
    <row r="436" spans="1:7" x14ac:dyDescent="0.35">
      <c r="A436" s="9" t="s">
        <v>787</v>
      </c>
      <c r="B436" s="9" t="s">
        <v>788</v>
      </c>
      <c r="C436" s="9" t="s">
        <v>922</v>
      </c>
      <c r="D436" s="9" t="s">
        <v>930</v>
      </c>
      <c r="E436" s="9" t="s">
        <v>1185</v>
      </c>
      <c r="F436" s="9" t="s">
        <v>1183</v>
      </c>
      <c r="G436" s="9" t="s">
        <v>1185</v>
      </c>
    </row>
    <row r="437" spans="1:7" x14ac:dyDescent="0.35">
      <c r="A437" s="9" t="s">
        <v>789</v>
      </c>
      <c r="B437" s="9" t="s">
        <v>790</v>
      </c>
      <c r="C437" s="9" t="s">
        <v>881</v>
      </c>
      <c r="D437" s="9" t="s">
        <v>930</v>
      </c>
      <c r="E437" s="9" t="s">
        <v>1183</v>
      </c>
      <c r="F437" s="9" t="s">
        <v>1183</v>
      </c>
      <c r="G437" s="9" t="s">
        <v>1183</v>
      </c>
    </row>
    <row r="438" spans="1:7" x14ac:dyDescent="0.35">
      <c r="A438" s="9" t="s">
        <v>791</v>
      </c>
      <c r="B438" s="9" t="s">
        <v>792</v>
      </c>
      <c r="C438" s="9" t="s">
        <v>881</v>
      </c>
      <c r="D438" s="9" t="s">
        <v>930</v>
      </c>
      <c r="E438" s="9" t="s">
        <v>1183</v>
      </c>
      <c r="F438" s="9" t="s">
        <v>1183</v>
      </c>
      <c r="G438" s="9" t="s">
        <v>1183</v>
      </c>
    </row>
    <row r="439" spans="1:7" x14ac:dyDescent="0.35">
      <c r="A439" s="9" t="s">
        <v>1111</v>
      </c>
      <c r="B439" s="9" t="s">
        <v>633</v>
      </c>
      <c r="C439" s="9" t="s">
        <v>881</v>
      </c>
      <c r="D439" s="9" t="s">
        <v>930</v>
      </c>
      <c r="E439" s="9" t="s">
        <v>1183</v>
      </c>
      <c r="F439" s="9" t="s">
        <v>1183</v>
      </c>
      <c r="G439" s="9" t="s">
        <v>1183</v>
      </c>
    </row>
    <row r="440" spans="1:7" x14ac:dyDescent="0.35">
      <c r="A440" s="9" t="s">
        <v>1112</v>
      </c>
      <c r="B440" s="9" t="s">
        <v>1113</v>
      </c>
      <c r="C440" s="9" t="s">
        <v>884</v>
      </c>
      <c r="D440" s="9" t="s">
        <v>930</v>
      </c>
      <c r="E440" s="9" t="s">
        <v>1183</v>
      </c>
      <c r="F440" s="9" t="s">
        <v>1183</v>
      </c>
      <c r="G440" s="9" t="s">
        <v>1183</v>
      </c>
    </row>
    <row r="441" spans="1:7" x14ac:dyDescent="0.35">
      <c r="A441" s="9" t="s">
        <v>1114</v>
      </c>
      <c r="B441" s="9" t="s">
        <v>1115</v>
      </c>
      <c r="C441" s="9" t="s">
        <v>884</v>
      </c>
      <c r="D441" s="9" t="s">
        <v>930</v>
      </c>
      <c r="E441" s="9" t="s">
        <v>1183</v>
      </c>
      <c r="F441" s="9" t="s">
        <v>1183</v>
      </c>
      <c r="G441" s="9" t="s">
        <v>1183</v>
      </c>
    </row>
    <row r="442" spans="1:7" x14ac:dyDescent="0.35">
      <c r="A442" s="9" t="s">
        <v>793</v>
      </c>
      <c r="B442" s="9" t="s">
        <v>794</v>
      </c>
      <c r="C442" s="9" t="s">
        <v>884</v>
      </c>
      <c r="D442" s="9" t="s">
        <v>930</v>
      </c>
      <c r="E442" s="9" t="s">
        <v>1185</v>
      </c>
      <c r="F442" s="9" t="s">
        <v>1183</v>
      </c>
      <c r="G442" s="9" t="s">
        <v>1185</v>
      </c>
    </row>
    <row r="443" spans="1:7" x14ac:dyDescent="0.35">
      <c r="A443" s="9" t="s">
        <v>795</v>
      </c>
      <c r="B443" s="9" t="s">
        <v>796</v>
      </c>
      <c r="C443" s="9" t="s">
        <v>884</v>
      </c>
      <c r="D443" s="9" t="s">
        <v>930</v>
      </c>
      <c r="E443" s="9" t="s">
        <v>1185</v>
      </c>
      <c r="F443" s="9" t="s">
        <v>1183</v>
      </c>
      <c r="G443" s="9" t="s">
        <v>1185</v>
      </c>
    </row>
    <row r="444" spans="1:7" x14ac:dyDescent="0.35">
      <c r="A444" s="9" t="s">
        <v>797</v>
      </c>
      <c r="B444" s="9" t="s">
        <v>1270</v>
      </c>
      <c r="C444" s="9" t="s">
        <v>884</v>
      </c>
      <c r="D444" s="9" t="s">
        <v>930</v>
      </c>
      <c r="E444" s="9" t="s">
        <v>1185</v>
      </c>
      <c r="F444" s="9" t="s">
        <v>1183</v>
      </c>
      <c r="G444" s="9" t="s">
        <v>1185</v>
      </c>
    </row>
    <row r="445" spans="1:7" x14ac:dyDescent="0.35">
      <c r="A445" s="9" t="s">
        <v>799</v>
      </c>
      <c r="B445" s="9" t="s">
        <v>1271</v>
      </c>
      <c r="C445" s="9" t="s">
        <v>884</v>
      </c>
      <c r="D445" s="9" t="s">
        <v>930</v>
      </c>
      <c r="E445" s="9" t="s">
        <v>1185</v>
      </c>
      <c r="F445" s="9" t="s">
        <v>1183</v>
      </c>
      <c r="G445" s="9" t="s">
        <v>1185</v>
      </c>
    </row>
    <row r="446" spans="1:7" x14ac:dyDescent="0.35">
      <c r="A446" s="9" t="s">
        <v>801</v>
      </c>
      <c r="B446" s="9" t="s">
        <v>1272</v>
      </c>
      <c r="C446" s="9" t="s">
        <v>884</v>
      </c>
      <c r="D446" s="9" t="s">
        <v>930</v>
      </c>
      <c r="E446" s="9" t="s">
        <v>1185</v>
      </c>
      <c r="F446" s="9" t="s">
        <v>1183</v>
      </c>
      <c r="G446" s="9" t="s">
        <v>1185</v>
      </c>
    </row>
    <row r="447" spans="1:7" x14ac:dyDescent="0.35">
      <c r="A447" s="9" t="s">
        <v>803</v>
      </c>
      <c r="B447" s="9" t="s">
        <v>804</v>
      </c>
      <c r="C447" s="9" t="s">
        <v>884</v>
      </c>
      <c r="D447" s="9" t="s">
        <v>930</v>
      </c>
      <c r="E447" s="9" t="s">
        <v>1185</v>
      </c>
      <c r="F447" s="9" t="s">
        <v>1183</v>
      </c>
      <c r="G447" s="9" t="s">
        <v>1185</v>
      </c>
    </row>
    <row r="448" spans="1:7" x14ac:dyDescent="0.35">
      <c r="A448" s="9" t="s">
        <v>805</v>
      </c>
      <c r="B448" s="9" t="s">
        <v>806</v>
      </c>
      <c r="C448" s="9" t="s">
        <v>884</v>
      </c>
      <c r="D448" s="9" t="s">
        <v>930</v>
      </c>
      <c r="E448" s="9" t="s">
        <v>1185</v>
      </c>
      <c r="F448" s="9" t="s">
        <v>1183</v>
      </c>
      <c r="G448" s="9" t="s">
        <v>1185</v>
      </c>
    </row>
    <row r="449" spans="1:7" x14ac:dyDescent="0.35">
      <c r="A449" s="9" t="s">
        <v>807</v>
      </c>
      <c r="B449" s="9" t="s">
        <v>808</v>
      </c>
      <c r="C449" s="9" t="s">
        <v>884</v>
      </c>
      <c r="D449" s="9" t="s">
        <v>930</v>
      </c>
      <c r="E449" s="9" t="s">
        <v>1185</v>
      </c>
      <c r="F449" s="9" t="s">
        <v>1183</v>
      </c>
      <c r="G449" s="9" t="s">
        <v>1185</v>
      </c>
    </row>
    <row r="450" spans="1:7" x14ac:dyDescent="0.35">
      <c r="A450" s="9" t="s">
        <v>1117</v>
      </c>
      <c r="B450" s="9" t="s">
        <v>1118</v>
      </c>
      <c r="C450" s="9" t="s">
        <v>884</v>
      </c>
      <c r="D450" s="9" t="s">
        <v>930</v>
      </c>
      <c r="E450" s="9" t="s">
        <v>1183</v>
      </c>
      <c r="F450" s="9" t="s">
        <v>1183</v>
      </c>
      <c r="G450" s="9" t="s">
        <v>1183</v>
      </c>
    </row>
    <row r="451" spans="1:7" x14ac:dyDescent="0.35">
      <c r="A451" s="9" t="s">
        <v>809</v>
      </c>
      <c r="B451" s="9" t="s">
        <v>810</v>
      </c>
      <c r="C451" s="9" t="s">
        <v>881</v>
      </c>
      <c r="D451" s="9" t="s">
        <v>930</v>
      </c>
      <c r="E451" s="9" t="s">
        <v>1185</v>
      </c>
      <c r="F451" s="9" t="s">
        <v>1183</v>
      </c>
      <c r="G451" s="9" t="s">
        <v>1185</v>
      </c>
    </row>
    <row r="452" spans="1:7" x14ac:dyDescent="0.35">
      <c r="A452" s="9" t="s">
        <v>811</v>
      </c>
      <c r="B452" s="9" t="s">
        <v>812</v>
      </c>
      <c r="C452" s="9" t="s">
        <v>881</v>
      </c>
      <c r="D452" s="9" t="s">
        <v>930</v>
      </c>
      <c r="E452" s="9" t="s">
        <v>1183</v>
      </c>
      <c r="F452" s="9" t="s">
        <v>1183</v>
      </c>
      <c r="G452" s="9" t="s">
        <v>1183</v>
      </c>
    </row>
    <row r="453" spans="1:7" x14ac:dyDescent="0.35">
      <c r="A453" s="9" t="s">
        <v>1119</v>
      </c>
      <c r="B453" s="9" t="s">
        <v>1120</v>
      </c>
      <c r="C453" s="9" t="s">
        <v>881</v>
      </c>
      <c r="D453" s="9" t="s">
        <v>930</v>
      </c>
      <c r="E453" s="9" t="s">
        <v>1183</v>
      </c>
      <c r="F453" s="9" t="s">
        <v>1183</v>
      </c>
      <c r="G453" s="9" t="s">
        <v>1183</v>
      </c>
    </row>
    <row r="454" spans="1:7" x14ac:dyDescent="0.35">
      <c r="A454" s="9" t="s">
        <v>813</v>
      </c>
      <c r="B454" s="9" t="s">
        <v>814</v>
      </c>
      <c r="C454" s="9" t="s">
        <v>881</v>
      </c>
      <c r="D454" s="9" t="s">
        <v>930</v>
      </c>
      <c r="E454" s="9" t="s">
        <v>1185</v>
      </c>
      <c r="F454" s="9" t="s">
        <v>1183</v>
      </c>
      <c r="G454" s="9" t="s">
        <v>1185</v>
      </c>
    </row>
    <row r="455" spans="1:7" x14ac:dyDescent="0.35">
      <c r="A455" s="9" t="s">
        <v>815</v>
      </c>
      <c r="B455" s="9" t="s">
        <v>816</v>
      </c>
      <c r="C455" s="9" t="s">
        <v>881</v>
      </c>
      <c r="D455" s="9" t="s">
        <v>930</v>
      </c>
      <c r="E455" s="9" t="s">
        <v>1183</v>
      </c>
      <c r="F455" s="9" t="s">
        <v>1183</v>
      </c>
      <c r="G455" s="9" t="s">
        <v>1183</v>
      </c>
    </row>
    <row r="456" spans="1:7" x14ac:dyDescent="0.35">
      <c r="A456" s="9" t="s">
        <v>817</v>
      </c>
      <c r="B456" s="9" t="s">
        <v>818</v>
      </c>
      <c r="C456" s="9" t="s">
        <v>881</v>
      </c>
      <c r="D456" s="9" t="s">
        <v>930</v>
      </c>
      <c r="E456" s="9" t="s">
        <v>1185</v>
      </c>
      <c r="F456" s="9" t="s">
        <v>1183</v>
      </c>
      <c r="G456" s="9" t="s">
        <v>1185</v>
      </c>
    </row>
    <row r="457" spans="1:7" x14ac:dyDescent="0.35">
      <c r="A457" s="9" t="s">
        <v>819</v>
      </c>
      <c r="B457" s="9" t="s">
        <v>820</v>
      </c>
      <c r="C457" s="9" t="s">
        <v>881</v>
      </c>
      <c r="D457" s="9" t="s">
        <v>930</v>
      </c>
      <c r="E457" s="9" t="s">
        <v>1183</v>
      </c>
      <c r="F457" s="9" t="s">
        <v>1183</v>
      </c>
      <c r="G457" s="9" t="s">
        <v>1183</v>
      </c>
    </row>
    <row r="458" spans="1:7" x14ac:dyDescent="0.35">
      <c r="A458" s="9" t="s">
        <v>821</v>
      </c>
      <c r="B458" s="9" t="s">
        <v>822</v>
      </c>
      <c r="C458" s="9" t="s">
        <v>881</v>
      </c>
      <c r="D458" s="9" t="s">
        <v>930</v>
      </c>
      <c r="E458" s="9" t="s">
        <v>1185</v>
      </c>
      <c r="F458" s="9" t="s">
        <v>1183</v>
      </c>
      <c r="G458" s="9" t="s">
        <v>1183</v>
      </c>
    </row>
    <row r="459" spans="1:7" x14ac:dyDescent="0.35">
      <c r="A459" s="9" t="s">
        <v>1124</v>
      </c>
      <c r="B459" s="9" t="s">
        <v>1125</v>
      </c>
      <c r="C459" s="9" t="s">
        <v>881</v>
      </c>
      <c r="D459" s="9" t="s">
        <v>930</v>
      </c>
      <c r="E459" s="9" t="s">
        <v>1183</v>
      </c>
      <c r="F459" s="9" t="s">
        <v>1183</v>
      </c>
      <c r="G459" s="9" t="s">
        <v>1183</v>
      </c>
    </row>
    <row r="460" spans="1:7" x14ac:dyDescent="0.35">
      <c r="A460" s="9" t="s">
        <v>1126</v>
      </c>
      <c r="B460" s="9" t="s">
        <v>1127</v>
      </c>
      <c r="C460" s="9" t="s">
        <v>881</v>
      </c>
      <c r="D460" s="9" t="s">
        <v>930</v>
      </c>
      <c r="E460" s="9" t="s">
        <v>1183</v>
      </c>
      <c r="F460" s="9" t="s">
        <v>1183</v>
      </c>
      <c r="G460" s="9" t="s">
        <v>1183</v>
      </c>
    </row>
    <row r="461" spans="1:7" x14ac:dyDescent="0.35">
      <c r="A461" s="9" t="s">
        <v>1128</v>
      </c>
      <c r="B461" s="9" t="s">
        <v>1129</v>
      </c>
      <c r="C461" s="9" t="s">
        <v>881</v>
      </c>
      <c r="D461" s="9" t="s">
        <v>930</v>
      </c>
      <c r="E461" s="9" t="s">
        <v>1185</v>
      </c>
      <c r="F461" s="9" t="s">
        <v>1183</v>
      </c>
      <c r="G461" s="9" t="s">
        <v>1185</v>
      </c>
    </row>
    <row r="462" spans="1:7" x14ac:dyDescent="0.35">
      <c r="A462" s="9" t="s">
        <v>1130</v>
      </c>
      <c r="B462" s="9" t="s">
        <v>1131</v>
      </c>
      <c r="C462" s="9" t="s">
        <v>881</v>
      </c>
      <c r="D462" s="9" t="s">
        <v>930</v>
      </c>
      <c r="E462" s="9" t="s">
        <v>1183</v>
      </c>
      <c r="F462" s="9" t="s">
        <v>1183</v>
      </c>
      <c r="G462" s="9" t="s">
        <v>1183</v>
      </c>
    </row>
    <row r="463" spans="1:7" x14ac:dyDescent="0.35">
      <c r="A463" s="9" t="s">
        <v>1132</v>
      </c>
      <c r="B463" s="9" t="s">
        <v>1133</v>
      </c>
      <c r="C463" s="9" t="s">
        <v>881</v>
      </c>
      <c r="D463" s="9" t="s">
        <v>930</v>
      </c>
      <c r="E463" s="9" t="s">
        <v>1183</v>
      </c>
      <c r="F463" s="9" t="s">
        <v>1183</v>
      </c>
      <c r="G463" s="9" t="s">
        <v>1183</v>
      </c>
    </row>
    <row r="464" spans="1:7" x14ac:dyDescent="0.35">
      <c r="A464" s="9" t="s">
        <v>1134</v>
      </c>
      <c r="B464" s="9" t="s">
        <v>1135</v>
      </c>
      <c r="C464" s="9" t="s">
        <v>881</v>
      </c>
      <c r="D464" s="9" t="s">
        <v>930</v>
      </c>
      <c r="E464" s="9" t="s">
        <v>1183</v>
      </c>
      <c r="F464" s="9" t="s">
        <v>1183</v>
      </c>
      <c r="G464" s="9" t="s">
        <v>1183</v>
      </c>
    </row>
    <row r="465" spans="1:7" x14ac:dyDescent="0.35">
      <c r="A465" s="9" t="s">
        <v>1136</v>
      </c>
      <c r="B465" s="9" t="s">
        <v>1137</v>
      </c>
      <c r="C465" s="9" t="s">
        <v>881</v>
      </c>
      <c r="D465" s="9" t="s">
        <v>930</v>
      </c>
      <c r="E465" s="9" t="s">
        <v>1183</v>
      </c>
      <c r="F465" s="9" t="s">
        <v>1183</v>
      </c>
      <c r="G465" s="9" t="s">
        <v>1183</v>
      </c>
    </row>
    <row r="466" spans="1:7" x14ac:dyDescent="0.35">
      <c r="A466" s="9" t="s">
        <v>1138</v>
      </c>
      <c r="B466" s="9" t="s">
        <v>1139</v>
      </c>
      <c r="C466" s="9" t="s">
        <v>881</v>
      </c>
      <c r="D466" s="9" t="s">
        <v>930</v>
      </c>
      <c r="E466" s="9" t="s">
        <v>1183</v>
      </c>
      <c r="F466" s="9" t="s">
        <v>1183</v>
      </c>
      <c r="G466" s="9" t="s">
        <v>1183</v>
      </c>
    </row>
    <row r="467" spans="1:7" x14ac:dyDescent="0.35">
      <c r="A467" s="9" t="s">
        <v>1140</v>
      </c>
      <c r="B467" s="9" t="s">
        <v>1141</v>
      </c>
      <c r="C467" s="9" t="s">
        <v>881</v>
      </c>
      <c r="D467" s="9" t="s">
        <v>930</v>
      </c>
      <c r="E467" s="9" t="s">
        <v>1183</v>
      </c>
      <c r="F467" s="9" t="s">
        <v>1183</v>
      </c>
      <c r="G467" s="9" t="s">
        <v>1183</v>
      </c>
    </row>
    <row r="468" spans="1:7" x14ac:dyDescent="0.35">
      <c r="A468" s="9" t="s">
        <v>823</v>
      </c>
      <c r="B468" s="9" t="s">
        <v>824</v>
      </c>
      <c r="C468" s="9" t="s">
        <v>881</v>
      </c>
      <c r="D468" s="9" t="s">
        <v>930</v>
      </c>
      <c r="E468" s="9" t="s">
        <v>1185</v>
      </c>
      <c r="F468" s="9" t="s">
        <v>1183</v>
      </c>
      <c r="G468" s="9" t="s">
        <v>1183</v>
      </c>
    </row>
    <row r="469" spans="1:7" x14ac:dyDescent="0.35">
      <c r="A469" s="9" t="s">
        <v>825</v>
      </c>
      <c r="B469" s="9" t="s">
        <v>1273</v>
      </c>
      <c r="C469" s="9" t="s">
        <v>881</v>
      </c>
      <c r="D469" s="9" t="s">
        <v>930</v>
      </c>
      <c r="E469" s="9" t="s">
        <v>1185</v>
      </c>
      <c r="F469" s="9" t="s">
        <v>1183</v>
      </c>
      <c r="G469" s="9" t="s">
        <v>1185</v>
      </c>
    </row>
    <row r="470" spans="1:7" x14ac:dyDescent="0.35">
      <c r="A470" s="9" t="s">
        <v>827</v>
      </c>
      <c r="B470" s="9" t="s">
        <v>828</v>
      </c>
      <c r="C470" s="9" t="s">
        <v>881</v>
      </c>
      <c r="D470" s="9" t="s">
        <v>930</v>
      </c>
      <c r="E470" s="9" t="s">
        <v>1185</v>
      </c>
      <c r="F470" s="9" t="s">
        <v>1183</v>
      </c>
      <c r="G470" s="9" t="s">
        <v>1185</v>
      </c>
    </row>
    <row r="471" spans="1:7" x14ac:dyDescent="0.35">
      <c r="A471" s="9" t="s">
        <v>829</v>
      </c>
      <c r="B471" s="9" t="s">
        <v>1274</v>
      </c>
      <c r="C471" s="9" t="s">
        <v>884</v>
      </c>
      <c r="D471" s="9" t="s">
        <v>930</v>
      </c>
      <c r="E471" s="9" t="s">
        <v>1185</v>
      </c>
      <c r="F471" s="9" t="s">
        <v>1183</v>
      </c>
      <c r="G471" s="9" t="s">
        <v>1185</v>
      </c>
    </row>
    <row r="472" spans="1:7" x14ac:dyDescent="0.35">
      <c r="A472" s="9" t="s">
        <v>831</v>
      </c>
      <c r="B472" s="9" t="s">
        <v>832</v>
      </c>
      <c r="C472" s="9" t="s">
        <v>884</v>
      </c>
      <c r="D472" s="9" t="s">
        <v>930</v>
      </c>
      <c r="E472" s="9" t="s">
        <v>1183</v>
      </c>
      <c r="F472" s="9" t="s">
        <v>1183</v>
      </c>
      <c r="G472" s="9" t="s">
        <v>1183</v>
      </c>
    </row>
    <row r="473" spans="1:7" x14ac:dyDescent="0.35">
      <c r="A473" s="9" t="s">
        <v>833</v>
      </c>
      <c r="B473" s="9" t="s">
        <v>834</v>
      </c>
      <c r="C473" s="9" t="s">
        <v>884</v>
      </c>
      <c r="D473" s="9" t="s">
        <v>930</v>
      </c>
      <c r="E473" s="9" t="s">
        <v>1185</v>
      </c>
      <c r="F473" s="9" t="s">
        <v>1183</v>
      </c>
      <c r="G473" s="9" t="s">
        <v>1185</v>
      </c>
    </row>
    <row r="474" spans="1:7" x14ac:dyDescent="0.35">
      <c r="A474" s="9" t="s">
        <v>835</v>
      </c>
      <c r="B474" s="9" t="s">
        <v>836</v>
      </c>
      <c r="C474" s="9" t="s">
        <v>884</v>
      </c>
      <c r="D474" s="9" t="s">
        <v>930</v>
      </c>
      <c r="E474" s="9" t="s">
        <v>1185</v>
      </c>
      <c r="F474" s="9" t="s">
        <v>1183</v>
      </c>
      <c r="G474" s="9" t="s">
        <v>1185</v>
      </c>
    </row>
    <row r="475" spans="1:7" x14ac:dyDescent="0.35">
      <c r="A475" s="9" t="s">
        <v>1275</v>
      </c>
      <c r="B475" s="9" t="s">
        <v>1276</v>
      </c>
      <c r="C475" s="9" t="s">
        <v>884</v>
      </c>
      <c r="D475" s="9" t="s">
        <v>930</v>
      </c>
      <c r="E475" s="9" t="s">
        <v>1185</v>
      </c>
      <c r="F475" s="9" t="s">
        <v>1183</v>
      </c>
      <c r="G475" s="9" t="s">
        <v>1185</v>
      </c>
    </row>
    <row r="476" spans="1:7" x14ac:dyDescent="0.35">
      <c r="A476" s="9" t="s">
        <v>1145</v>
      </c>
      <c r="B476" s="9" t="s">
        <v>1146</v>
      </c>
      <c r="C476" s="9" t="s">
        <v>884</v>
      </c>
      <c r="D476" s="9" t="s">
        <v>930</v>
      </c>
      <c r="E476" s="9" t="s">
        <v>1183</v>
      </c>
      <c r="F476" s="9" t="s">
        <v>1183</v>
      </c>
      <c r="G476" s="9" t="s">
        <v>1183</v>
      </c>
    </row>
    <row r="477" spans="1:7" x14ac:dyDescent="0.35">
      <c r="A477" s="10" t="s">
        <v>1147</v>
      </c>
      <c r="B477" s="10" t="s">
        <v>1148</v>
      </c>
      <c r="C477" s="10" t="s">
        <v>881</v>
      </c>
      <c r="D477" s="10" t="s">
        <v>1149</v>
      </c>
      <c r="E477" s="10" t="s">
        <v>1183</v>
      </c>
      <c r="F477" s="10" t="s">
        <v>1183</v>
      </c>
      <c r="G477" s="10" t="s">
        <v>1183</v>
      </c>
    </row>
    <row r="478" spans="1:7" x14ac:dyDescent="0.35">
      <c r="A478" s="10" t="s">
        <v>1150</v>
      </c>
      <c r="B478" s="10" t="s">
        <v>1151</v>
      </c>
      <c r="C478" s="10" t="s">
        <v>881</v>
      </c>
      <c r="D478" s="10" t="s">
        <v>1149</v>
      </c>
      <c r="E478" s="10" t="s">
        <v>1183</v>
      </c>
      <c r="F478" s="10" t="s">
        <v>1183</v>
      </c>
      <c r="G478" s="10" t="s">
        <v>1183</v>
      </c>
    </row>
    <row r="479" spans="1:7" x14ac:dyDescent="0.35">
      <c r="A479" s="10" t="s">
        <v>1152</v>
      </c>
      <c r="B479" s="10" t="s">
        <v>1153</v>
      </c>
      <c r="C479" s="10" t="s">
        <v>881</v>
      </c>
      <c r="D479" s="10" t="s">
        <v>1149</v>
      </c>
      <c r="E479" s="10" t="s">
        <v>1183</v>
      </c>
      <c r="F479" s="10" t="s">
        <v>1183</v>
      </c>
      <c r="G479" s="10" t="s">
        <v>1183</v>
      </c>
    </row>
    <row r="480" spans="1:7" x14ac:dyDescent="0.35">
      <c r="A480" s="10" t="s">
        <v>1154</v>
      </c>
      <c r="B480" s="10" t="s">
        <v>1155</v>
      </c>
      <c r="C480" s="10" t="s">
        <v>881</v>
      </c>
      <c r="D480" s="10" t="s">
        <v>1155</v>
      </c>
      <c r="E480" s="10" t="s">
        <v>1183</v>
      </c>
      <c r="F480" s="10" t="s">
        <v>1183</v>
      </c>
      <c r="G480" s="10" t="s">
        <v>1183</v>
      </c>
    </row>
    <row r="481" spans="1:7" x14ac:dyDescent="0.35">
      <c r="A481" s="10" t="s">
        <v>1156</v>
      </c>
      <c r="B481" s="10" t="s">
        <v>1157</v>
      </c>
      <c r="C481" s="10" t="s">
        <v>881</v>
      </c>
      <c r="D481" s="10" t="s">
        <v>931</v>
      </c>
      <c r="E481" s="10" t="s">
        <v>1183</v>
      </c>
      <c r="F481" s="10" t="s">
        <v>1183</v>
      </c>
      <c r="G481" s="10" t="s">
        <v>1183</v>
      </c>
    </row>
    <row r="482" spans="1:7" x14ac:dyDescent="0.35">
      <c r="A482" s="10" t="s">
        <v>837</v>
      </c>
      <c r="B482" s="10" t="s">
        <v>838</v>
      </c>
      <c r="C482" s="10" t="s">
        <v>881</v>
      </c>
      <c r="D482" s="10" t="s">
        <v>931</v>
      </c>
      <c r="E482" s="10" t="s">
        <v>1185</v>
      </c>
      <c r="F482" s="10" t="s">
        <v>1183</v>
      </c>
      <c r="G482" s="10" t="s">
        <v>1183</v>
      </c>
    </row>
    <row r="483" spans="1:7" x14ac:dyDescent="0.35">
      <c r="A483" s="10" t="s">
        <v>839</v>
      </c>
      <c r="B483" s="10" t="s">
        <v>840</v>
      </c>
      <c r="C483" s="10" t="s">
        <v>881</v>
      </c>
      <c r="D483" s="10" t="s">
        <v>931</v>
      </c>
      <c r="E483" s="10" t="s">
        <v>1185</v>
      </c>
      <c r="F483" s="10" t="s">
        <v>1183</v>
      </c>
      <c r="G483" s="10" t="s">
        <v>1183</v>
      </c>
    </row>
    <row r="484" spans="1:7" x14ac:dyDescent="0.35">
      <c r="A484" s="10" t="s">
        <v>841</v>
      </c>
      <c r="B484" s="10" t="s">
        <v>842</v>
      </c>
      <c r="C484" s="10" t="s">
        <v>881</v>
      </c>
      <c r="D484" s="10" t="s">
        <v>931</v>
      </c>
      <c r="E484" s="10" t="s">
        <v>1185</v>
      </c>
      <c r="F484" s="10" t="s">
        <v>1183</v>
      </c>
      <c r="G484" s="10" t="s">
        <v>1183</v>
      </c>
    </row>
    <row r="485" spans="1:7" x14ac:dyDescent="0.35">
      <c r="A485" s="10" t="s">
        <v>845</v>
      </c>
      <c r="B485" s="10" t="s">
        <v>846</v>
      </c>
      <c r="C485" s="10" t="s">
        <v>881</v>
      </c>
      <c r="D485" s="10" t="s">
        <v>932</v>
      </c>
      <c r="E485" s="10" t="s">
        <v>1183</v>
      </c>
      <c r="F485" s="10" t="s">
        <v>1183</v>
      </c>
      <c r="G485" s="10" t="s">
        <v>1183</v>
      </c>
    </row>
    <row r="486" spans="1:7" x14ac:dyDescent="0.35">
      <c r="A486" s="10" t="s">
        <v>847</v>
      </c>
      <c r="B486" s="10" t="s">
        <v>1159</v>
      </c>
      <c r="C486" s="10" t="s">
        <v>881</v>
      </c>
      <c r="D486" s="10" t="s">
        <v>1159</v>
      </c>
      <c r="E486" s="10" t="s">
        <v>1183</v>
      </c>
      <c r="F486" s="10" t="s">
        <v>1183</v>
      </c>
      <c r="G486" s="10" t="s">
        <v>1183</v>
      </c>
    </row>
    <row r="487" spans="1:7" x14ac:dyDescent="0.35">
      <c r="A487" s="10" t="s">
        <v>849</v>
      </c>
      <c r="B487" s="10" t="s">
        <v>850</v>
      </c>
      <c r="C487" s="10" t="s">
        <v>881</v>
      </c>
      <c r="D487" s="10" t="s">
        <v>932</v>
      </c>
      <c r="E487" s="10" t="s">
        <v>1183</v>
      </c>
      <c r="F487" s="10" t="s">
        <v>1183</v>
      </c>
      <c r="G487" s="10" t="s">
        <v>1183</v>
      </c>
    </row>
    <row r="488" spans="1:7" x14ac:dyDescent="0.35">
      <c r="A488" s="10" t="s">
        <v>851</v>
      </c>
      <c r="B488" s="10" t="s">
        <v>852</v>
      </c>
      <c r="C488" s="10" t="s">
        <v>881</v>
      </c>
      <c r="D488" s="10" t="s">
        <v>933</v>
      </c>
      <c r="E488" s="10" t="s">
        <v>1183</v>
      </c>
      <c r="F488" s="10" t="s">
        <v>1183</v>
      </c>
      <c r="G488" s="10" t="s">
        <v>1183</v>
      </c>
    </row>
    <row r="489" spans="1:7" x14ac:dyDescent="0.35">
      <c r="A489" s="10" t="s">
        <v>853</v>
      </c>
      <c r="B489" s="10" t="s">
        <v>854</v>
      </c>
      <c r="C489" s="10" t="s">
        <v>881</v>
      </c>
      <c r="D489" s="10" t="s">
        <v>933</v>
      </c>
      <c r="E489" s="10" t="s">
        <v>1183</v>
      </c>
      <c r="F489" s="10" t="s">
        <v>1183</v>
      </c>
      <c r="G489" s="10" t="s">
        <v>1183</v>
      </c>
    </row>
    <row r="490" spans="1:7" x14ac:dyDescent="0.35">
      <c r="A490" s="10" t="s">
        <v>1160</v>
      </c>
      <c r="B490" s="10" t="s">
        <v>1161</v>
      </c>
      <c r="C490" s="10" t="s">
        <v>881</v>
      </c>
      <c r="D490" s="10" t="s">
        <v>1161</v>
      </c>
      <c r="E490" s="10" t="s">
        <v>1183</v>
      </c>
      <c r="F490" s="10" t="s">
        <v>1183</v>
      </c>
      <c r="G490" s="10" t="s">
        <v>1183</v>
      </c>
    </row>
    <row r="491" spans="1:7" x14ac:dyDescent="0.35">
      <c r="A491" s="10" t="s">
        <v>1162</v>
      </c>
      <c r="B491" s="10" t="s">
        <v>1163</v>
      </c>
      <c r="C491" s="10" t="s">
        <v>881</v>
      </c>
      <c r="D491" s="10" t="s">
        <v>934</v>
      </c>
      <c r="E491" s="10" t="s">
        <v>1183</v>
      </c>
      <c r="F491" s="10" t="s">
        <v>1183</v>
      </c>
      <c r="G491" s="10" t="s">
        <v>1183</v>
      </c>
    </row>
    <row r="492" spans="1:7" x14ac:dyDescent="0.35">
      <c r="A492" s="10" t="s">
        <v>855</v>
      </c>
      <c r="B492" s="10" t="s">
        <v>856</v>
      </c>
      <c r="C492" s="10" t="s">
        <v>881</v>
      </c>
      <c r="D492" s="10" t="s">
        <v>934</v>
      </c>
      <c r="E492" s="10" t="s">
        <v>1185</v>
      </c>
      <c r="F492" s="10" t="s">
        <v>1183</v>
      </c>
      <c r="G492" s="10" t="s">
        <v>1185</v>
      </c>
    </row>
    <row r="493" spans="1:7" x14ac:dyDescent="0.35">
      <c r="A493" s="10" t="s">
        <v>857</v>
      </c>
      <c r="B493" s="10" t="s">
        <v>858</v>
      </c>
      <c r="C493" s="10" t="s">
        <v>881</v>
      </c>
      <c r="D493" s="10" t="s">
        <v>934</v>
      </c>
      <c r="E493" s="10" t="s">
        <v>1185</v>
      </c>
      <c r="F493" s="10" t="s">
        <v>1183</v>
      </c>
      <c r="G493" s="10" t="s">
        <v>1183</v>
      </c>
    </row>
    <row r="494" spans="1:7" x14ac:dyDescent="0.35">
      <c r="A494" s="10" t="s">
        <v>859</v>
      </c>
      <c r="B494" s="10" t="s">
        <v>860</v>
      </c>
      <c r="C494" s="10" t="s">
        <v>881</v>
      </c>
      <c r="D494" s="10" t="s">
        <v>934</v>
      </c>
      <c r="E494" s="10" t="s">
        <v>1185</v>
      </c>
      <c r="F494" s="10" t="s">
        <v>1183</v>
      </c>
      <c r="G494" s="10" t="s">
        <v>1185</v>
      </c>
    </row>
    <row r="495" spans="1:7" x14ac:dyDescent="0.35">
      <c r="A495" s="10" t="s">
        <v>861</v>
      </c>
      <c r="B495" s="10" t="s">
        <v>862</v>
      </c>
      <c r="C495" s="10" t="s">
        <v>881</v>
      </c>
      <c r="D495" s="10" t="s">
        <v>934</v>
      </c>
      <c r="E495" s="10" t="s">
        <v>1185</v>
      </c>
      <c r="F495" s="10" t="s">
        <v>1183</v>
      </c>
      <c r="G495" s="10" t="s">
        <v>1185</v>
      </c>
    </row>
    <row r="496" spans="1:7" x14ac:dyDescent="0.35">
      <c r="A496" s="10" t="s">
        <v>867</v>
      </c>
      <c r="B496" s="10" t="s">
        <v>868</v>
      </c>
      <c r="C496" s="10" t="s">
        <v>881</v>
      </c>
      <c r="D496" s="10" t="s">
        <v>935</v>
      </c>
      <c r="E496" s="10" t="s">
        <v>1183</v>
      </c>
      <c r="F496" s="10" t="s">
        <v>1183</v>
      </c>
      <c r="G496" s="10" t="s">
        <v>1183</v>
      </c>
    </row>
    <row r="497" spans="1:7" x14ac:dyDescent="0.35">
      <c r="A497" s="10" t="s">
        <v>869</v>
      </c>
      <c r="B497" s="10" t="s">
        <v>870</v>
      </c>
      <c r="C497" s="10" t="s">
        <v>881</v>
      </c>
      <c r="D497" s="10" t="s">
        <v>935</v>
      </c>
      <c r="E497" s="10" t="s">
        <v>1183</v>
      </c>
      <c r="F497" s="10" t="s">
        <v>1183</v>
      </c>
      <c r="G497" s="10" t="s">
        <v>1183</v>
      </c>
    </row>
    <row r="498" spans="1:7" x14ac:dyDescent="0.35">
      <c r="A498" s="10" t="s">
        <v>1165</v>
      </c>
      <c r="B498" s="10" t="s">
        <v>868</v>
      </c>
      <c r="C498" s="10" t="s">
        <v>881</v>
      </c>
      <c r="D498" s="10" t="s">
        <v>1166</v>
      </c>
      <c r="E498" s="10" t="s">
        <v>1183</v>
      </c>
      <c r="F498" s="10" t="s">
        <v>1183</v>
      </c>
      <c r="G498" s="10" t="s">
        <v>1183</v>
      </c>
    </row>
    <row r="499" spans="1:7" x14ac:dyDescent="0.35">
      <c r="A499" s="10" t="s">
        <v>1167</v>
      </c>
      <c r="B499" s="10" t="s">
        <v>870</v>
      </c>
      <c r="C499" s="10" t="s">
        <v>881</v>
      </c>
      <c r="D499" s="10" t="s">
        <v>1166</v>
      </c>
      <c r="E499" s="10" t="s">
        <v>1183</v>
      </c>
      <c r="F499" s="10" t="s">
        <v>1183</v>
      </c>
      <c r="G499" s="10" t="s">
        <v>1183</v>
      </c>
    </row>
    <row r="500" spans="1:7" x14ac:dyDescent="0.35">
      <c r="A500" s="10" t="s">
        <v>871</v>
      </c>
      <c r="B500" s="10" t="s">
        <v>872</v>
      </c>
      <c r="C500" s="10" t="s">
        <v>881</v>
      </c>
      <c r="D500" s="10" t="s">
        <v>872</v>
      </c>
      <c r="E500" s="10" t="s">
        <v>1183</v>
      </c>
      <c r="F500" s="10" t="s">
        <v>1183</v>
      </c>
      <c r="G500" s="10" t="s">
        <v>1183</v>
      </c>
    </row>
    <row r="501" spans="1:7" x14ac:dyDescent="0.35">
      <c r="A501" s="10" t="s">
        <v>873</v>
      </c>
      <c r="B501" s="10" t="s">
        <v>874</v>
      </c>
      <c r="C501" s="10" t="s">
        <v>881</v>
      </c>
      <c r="D501" s="10" t="s">
        <v>872</v>
      </c>
      <c r="E501" s="10" t="s">
        <v>1183</v>
      </c>
      <c r="F501" s="10" t="s">
        <v>1183</v>
      </c>
      <c r="G501" s="10" t="s">
        <v>1183</v>
      </c>
    </row>
    <row r="502" spans="1:7" x14ac:dyDescent="0.35">
      <c r="A502" s="10" t="s">
        <v>1168</v>
      </c>
      <c r="B502" s="10" t="s">
        <v>1169</v>
      </c>
      <c r="C502" s="10" t="s">
        <v>881</v>
      </c>
      <c r="D502" s="10" t="s">
        <v>872</v>
      </c>
      <c r="E502" s="10" t="s">
        <v>1183</v>
      </c>
      <c r="F502" s="10" t="s">
        <v>1183</v>
      </c>
      <c r="G502" s="10" t="s">
        <v>1183</v>
      </c>
    </row>
    <row r="503" spans="1:7" x14ac:dyDescent="0.35">
      <c r="A503" s="10" t="s">
        <v>1170</v>
      </c>
      <c r="B503" s="10" t="s">
        <v>1171</v>
      </c>
      <c r="C503" s="10" t="s">
        <v>881</v>
      </c>
      <c r="D503" s="10" t="s">
        <v>872</v>
      </c>
      <c r="E503" s="10" t="s">
        <v>1183</v>
      </c>
      <c r="F503" s="10" t="s">
        <v>1183</v>
      </c>
      <c r="G503" s="10" t="s">
        <v>1183</v>
      </c>
    </row>
    <row r="504" spans="1:7" x14ac:dyDescent="0.35">
      <c r="A504" s="10" t="s">
        <v>1172</v>
      </c>
      <c r="B504" s="10" t="s">
        <v>1173</v>
      </c>
      <c r="C504" s="10" t="s">
        <v>881</v>
      </c>
      <c r="D504" s="10" t="s">
        <v>872</v>
      </c>
      <c r="E504" s="10" t="s">
        <v>1183</v>
      </c>
      <c r="F504" s="10" t="s">
        <v>1183</v>
      </c>
      <c r="G504" s="10" t="s">
        <v>1183</v>
      </c>
    </row>
    <row r="505" spans="1:7" x14ac:dyDescent="0.35">
      <c r="A505" s="10" t="s">
        <v>1174</v>
      </c>
      <c r="B505" s="10" t="s">
        <v>1175</v>
      </c>
      <c r="C505" s="10" t="s">
        <v>881</v>
      </c>
      <c r="D505" s="10" t="s">
        <v>872</v>
      </c>
      <c r="E505" s="10" t="s">
        <v>1183</v>
      </c>
      <c r="F505" s="10" t="s">
        <v>1183</v>
      </c>
      <c r="G505" s="10" t="s">
        <v>1183</v>
      </c>
    </row>
    <row r="506" spans="1:7" x14ac:dyDescent="0.35">
      <c r="A506" s="10" t="s">
        <v>875</v>
      </c>
      <c r="B506" s="10" t="s">
        <v>876</v>
      </c>
      <c r="C506" s="10" t="s">
        <v>881</v>
      </c>
      <c r="D506" s="10" t="s">
        <v>872</v>
      </c>
      <c r="E506" s="10" t="s">
        <v>1185</v>
      </c>
      <c r="F506" s="10" t="s">
        <v>1183</v>
      </c>
      <c r="G506" s="10" t="s">
        <v>1185</v>
      </c>
    </row>
    <row r="507" spans="1:7" x14ac:dyDescent="0.35">
      <c r="A507" s="10" t="s">
        <v>1176</v>
      </c>
      <c r="B507" s="10" t="s">
        <v>1177</v>
      </c>
      <c r="C507" s="10" t="s">
        <v>881</v>
      </c>
      <c r="D507" s="10" t="s">
        <v>872</v>
      </c>
      <c r="E507" s="10" t="s">
        <v>1183</v>
      </c>
      <c r="F507" s="10" t="s">
        <v>1183</v>
      </c>
      <c r="G507" s="10" t="s">
        <v>1183</v>
      </c>
    </row>
    <row r="508" spans="1:7" x14ac:dyDescent="0.35">
      <c r="A508" s="10" t="s">
        <v>877</v>
      </c>
      <c r="B508" s="10" t="s">
        <v>878</v>
      </c>
      <c r="C508" s="10" t="s">
        <v>881</v>
      </c>
      <c r="D508" s="10" t="s">
        <v>872</v>
      </c>
      <c r="E508" s="10" t="s">
        <v>1185</v>
      </c>
      <c r="F508" s="10" t="s">
        <v>1183</v>
      </c>
      <c r="G508" s="10" t="s">
        <v>1185</v>
      </c>
    </row>
  </sheetData>
  <customSheetViews>
    <customSheetView guid="{AC4EA9A6-2CED-4841-B447-8AE2764D4F20}" fitToPage="1" state="hidden">
      <selection activeCell="C29" sqref="C29"/>
      <pageMargins left="0.70866141732283472" right="0.70866141732283472" top="0.74803149606299213" bottom="0.74803149606299213" header="0.31496062992125984" footer="0.31496062992125984"/>
      <pageSetup paperSize="9" scale="79" fitToHeight="13" orientation="landscape" horizontalDpi="300" verticalDpi="300" r:id="rId1"/>
      <headerFooter alignWithMargins="0">
        <oddFooter>&amp;R&amp;P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scale="79" fitToHeight="13" orientation="landscape" horizontalDpi="300" verticalDpi="300" r:id="rId2"/>
  <headerFooter alignWithMargins="0">
    <oddFooter>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1C30-FD2D-4D19-A9E8-6B3516894C2F}">
  <sheetPr>
    <tabColor theme="9" tint="0.39997558519241921"/>
    <outlinePr summaryBelow="0" summaryRight="0"/>
    <pageSetUpPr fitToPage="1"/>
  </sheetPr>
  <dimension ref="A1:O522"/>
  <sheetViews>
    <sheetView zoomScaleNormal="100" workbookViewId="0">
      <pane ySplit="3" topLeftCell="A130" activePane="bottomLeft" state="frozen"/>
      <selection activeCell="B1" sqref="B1"/>
      <selection pane="bottomLeft" activeCell="F481" sqref="F481"/>
    </sheetView>
  </sheetViews>
  <sheetFormatPr baseColWidth="10" defaultColWidth="9.1796875" defaultRowHeight="14.5" outlineLevelRow="1" x14ac:dyDescent="0.35"/>
  <cols>
    <col min="1" max="1" width="8.453125" style="14" customWidth="1"/>
    <col min="2" max="2" width="62.1796875" style="16" customWidth="1"/>
    <col min="3" max="3" width="63.81640625" style="16" hidden="1" customWidth="1"/>
    <col min="4" max="4" width="17.81640625" style="27" customWidth="1"/>
    <col min="5" max="5" width="17.453125" style="27" customWidth="1"/>
    <col min="6" max="6" width="19.1796875" style="27" customWidth="1"/>
    <col min="7" max="7" width="17.453125" style="28" customWidth="1"/>
    <col min="8" max="9" width="17.453125" style="27" customWidth="1"/>
    <col min="10" max="10" width="16.81640625" customWidth="1"/>
    <col min="11" max="11" width="17.1796875" customWidth="1"/>
    <col min="12" max="12" width="16.81640625" customWidth="1"/>
  </cols>
  <sheetData>
    <row r="1" spans="1:12" x14ac:dyDescent="0.35">
      <c r="A1" s="37"/>
      <c r="B1" s="38" t="s">
        <v>1306</v>
      </c>
      <c r="C1" s="39"/>
      <c r="D1" s="39"/>
      <c r="E1" s="39"/>
      <c r="F1" s="39"/>
      <c r="G1" s="39"/>
      <c r="H1" s="39"/>
      <c r="I1" s="39"/>
    </row>
    <row r="2" spans="1:12" x14ac:dyDescent="0.35">
      <c r="A2" s="37"/>
      <c r="B2" s="39"/>
      <c r="C2" s="39"/>
      <c r="D2" s="39"/>
      <c r="E2" s="39"/>
      <c r="F2" s="39"/>
      <c r="G2" s="39"/>
      <c r="H2" s="39"/>
      <c r="I2" s="39"/>
      <c r="J2" s="125" t="s">
        <v>1300</v>
      </c>
    </row>
    <row r="3" spans="1:12" x14ac:dyDescent="0.35">
      <c r="A3" s="40" t="s">
        <v>1</v>
      </c>
      <c r="B3" s="61" t="s">
        <v>2</v>
      </c>
      <c r="C3" s="41" t="s">
        <v>880</v>
      </c>
      <c r="D3" s="82" t="s">
        <v>1278</v>
      </c>
      <c r="E3" s="42" t="s">
        <v>1279</v>
      </c>
      <c r="F3" s="82" t="s">
        <v>1280</v>
      </c>
      <c r="G3" s="19" t="s">
        <v>1277</v>
      </c>
      <c r="H3" s="82" t="s">
        <v>1281</v>
      </c>
      <c r="I3" s="43" t="s">
        <v>1282</v>
      </c>
      <c r="J3" s="107" t="s">
        <v>1297</v>
      </c>
      <c r="K3" s="107" t="s">
        <v>1298</v>
      </c>
      <c r="L3" s="31" t="s">
        <v>1301</v>
      </c>
    </row>
    <row r="4" spans="1:12" x14ac:dyDescent="0.35">
      <c r="A4" s="37" t="s">
        <v>3</v>
      </c>
      <c r="B4" s="62" t="s">
        <v>4</v>
      </c>
      <c r="C4" s="54"/>
      <c r="D4" s="83"/>
      <c r="E4" s="63"/>
      <c r="F4" s="83"/>
      <c r="G4" s="64"/>
      <c r="H4" s="85"/>
      <c r="I4" s="66"/>
      <c r="K4" s="132"/>
      <c r="L4" s="127"/>
    </row>
    <row r="5" spans="1:12" collapsed="1" x14ac:dyDescent="0.35">
      <c r="A5" s="37"/>
      <c r="B5" s="62" t="s">
        <v>882</v>
      </c>
      <c r="C5" s="54"/>
      <c r="D5" s="84">
        <f>('R2023'!D5+'R2022'!D5+'R2021'!D5)/3</f>
        <v>0</v>
      </c>
      <c r="E5" s="84">
        <f>('R2023'!E5+'R2022'!E5+'R2021'!E5)/3</f>
        <v>0</v>
      </c>
      <c r="F5" s="84">
        <f>('R2023'!F5+'R2022'!F5+'R2021'!F5)/3</f>
        <v>0</v>
      </c>
      <c r="G5" s="84">
        <f>('R2023'!G5+'R2022'!G5+'R2021'!G5)/3</f>
        <v>0</v>
      </c>
      <c r="H5" s="84">
        <f>('R2023'!H5+'R2022'!H5+'R2021'!H5)/3</f>
        <v>0</v>
      </c>
      <c r="I5" s="84">
        <f>('R2023'!I5+'R2022'!I5+'R2021'!I5)/3</f>
        <v>0</v>
      </c>
      <c r="J5" s="71"/>
      <c r="K5" s="84">
        <f>J5+I5</f>
        <v>0</v>
      </c>
      <c r="L5" s="67">
        <f>K5+D5+E5+F5+G5+H5</f>
        <v>0</v>
      </c>
    </row>
    <row r="6" spans="1:12" s="25" customFormat="1" hidden="1" outlineLevel="1" x14ac:dyDescent="0.35">
      <c r="A6" s="37" t="s">
        <v>5</v>
      </c>
      <c r="B6" s="62" t="s">
        <v>6</v>
      </c>
      <c r="C6" s="65"/>
      <c r="D6" s="84">
        <f>('R2023'!D6+'R2022'!D6+'R2021'!D6)/3</f>
        <v>0</v>
      </c>
      <c r="E6" s="84">
        <f>('R2023'!E6+'R2022'!E6+'R2021'!E6)/3</f>
        <v>0</v>
      </c>
      <c r="F6" s="84">
        <f>('R2023'!F6+'R2022'!F6+'R2021'!F6)/3</f>
        <v>0</v>
      </c>
      <c r="G6" s="84">
        <f>('R2023'!G6+'R2022'!G6+'R2021'!G6)/3</f>
        <v>0</v>
      </c>
      <c r="H6" s="84">
        <f>('R2023'!H6+'R2022'!H6+'R2021'!H6)/3</f>
        <v>0</v>
      </c>
      <c r="I6" s="84">
        <f>('R2023'!I6+'R2022'!I6+'R2021'!I6)/3</f>
        <v>0</v>
      </c>
      <c r="J6" s="71"/>
      <c r="K6" s="84">
        <f t="shared" ref="K6:K69" si="0">J6+I6</f>
        <v>0</v>
      </c>
      <c r="L6" s="67">
        <f t="shared" ref="L6:L69" si="1">K6+D6+E6+F6+G6+H6</f>
        <v>0</v>
      </c>
    </row>
    <row r="7" spans="1:12" s="25" customFormat="1" hidden="1" outlineLevel="1" x14ac:dyDescent="0.35">
      <c r="A7" s="37" t="s">
        <v>7</v>
      </c>
      <c r="B7" s="62" t="s">
        <v>8</v>
      </c>
      <c r="C7" s="54"/>
      <c r="D7" s="84">
        <f>('R2023'!D7+'R2022'!D7+'R2021'!D7)/3</f>
        <v>0</v>
      </c>
      <c r="E7" s="84">
        <f>('R2023'!E7+'R2022'!E7+'R2021'!E7)/3</f>
        <v>0</v>
      </c>
      <c r="F7" s="84">
        <f>('R2023'!F7+'R2022'!F7+'R2021'!F7)/3</f>
        <v>0</v>
      </c>
      <c r="G7" s="84">
        <f>('R2023'!G7+'R2022'!G7+'R2021'!G7)/3</f>
        <v>0</v>
      </c>
      <c r="H7" s="84">
        <f>('R2023'!H7+'R2022'!H7+'R2021'!H7)/3</f>
        <v>0</v>
      </c>
      <c r="I7" s="84">
        <f>('R2023'!I7+'R2022'!I7+'R2021'!I7)/3</f>
        <v>0</v>
      </c>
      <c r="J7" s="71"/>
      <c r="K7" s="84">
        <f t="shared" si="0"/>
        <v>0</v>
      </c>
      <c r="L7" s="67">
        <f t="shared" si="1"/>
        <v>0</v>
      </c>
    </row>
    <row r="8" spans="1:12" s="25" customFormat="1" hidden="1" outlineLevel="1" x14ac:dyDescent="0.35">
      <c r="A8" s="37" t="s">
        <v>9</v>
      </c>
      <c r="B8" s="62" t="s">
        <v>10</v>
      </c>
      <c r="C8" s="54" t="s">
        <v>882</v>
      </c>
      <c r="D8" s="84">
        <f>('R2023'!D8+'R2022'!D8+'R2021'!D8)/3</f>
        <v>0</v>
      </c>
      <c r="E8" s="84">
        <f>('R2023'!E8+'R2022'!E8+'R2021'!E8)/3</f>
        <v>0</v>
      </c>
      <c r="F8" s="84">
        <f>('R2023'!F8+'R2022'!F8+'R2021'!F8)/3</f>
        <v>0</v>
      </c>
      <c r="G8" s="84">
        <f>('R2023'!G8+'R2022'!G8+'R2021'!G8)/3</f>
        <v>0</v>
      </c>
      <c r="H8" s="84">
        <f>('R2023'!H8+'R2022'!H8+'R2021'!H8)/3</f>
        <v>0</v>
      </c>
      <c r="I8" s="84">
        <f>('R2023'!I8+'R2022'!I8+'R2021'!I8)/3</f>
        <v>0</v>
      </c>
      <c r="J8" s="71"/>
      <c r="K8" s="84">
        <f t="shared" si="0"/>
        <v>0</v>
      </c>
      <c r="L8" s="67">
        <f t="shared" si="1"/>
        <v>0</v>
      </c>
    </row>
    <row r="9" spans="1:12" s="25" customFormat="1" hidden="1" outlineLevel="1" x14ac:dyDescent="0.35">
      <c r="A9" s="37" t="s">
        <v>11</v>
      </c>
      <c r="B9" s="62" t="s">
        <v>883</v>
      </c>
      <c r="C9" s="54" t="s">
        <v>882</v>
      </c>
      <c r="D9" s="84">
        <f>('R2023'!D9+'R2022'!D9+'R2021'!D9)/3</f>
        <v>0</v>
      </c>
      <c r="E9" s="84">
        <f>('R2023'!E9+'R2022'!E9+'R2021'!E9)/3</f>
        <v>0</v>
      </c>
      <c r="F9" s="84">
        <f>('R2023'!F9+'R2022'!F9+'R2021'!F9)/3</f>
        <v>0</v>
      </c>
      <c r="G9" s="84">
        <f>('R2023'!G9+'R2022'!G9+'R2021'!G9)/3</f>
        <v>0</v>
      </c>
      <c r="H9" s="84">
        <f>('R2023'!H9+'R2022'!H9+'R2021'!H9)/3</f>
        <v>0</v>
      </c>
      <c r="I9" s="84">
        <f>('R2023'!I9+'R2022'!I9+'R2021'!I9)/3</f>
        <v>0</v>
      </c>
      <c r="J9" s="71"/>
      <c r="K9" s="84">
        <f t="shared" si="0"/>
        <v>0</v>
      </c>
      <c r="L9" s="67">
        <f t="shared" si="1"/>
        <v>0</v>
      </c>
    </row>
    <row r="10" spans="1:12" s="25" customFormat="1" hidden="1" outlineLevel="1" x14ac:dyDescent="0.35">
      <c r="A10" s="37" t="s">
        <v>12</v>
      </c>
      <c r="B10" s="62" t="s">
        <v>13</v>
      </c>
      <c r="C10" s="54" t="s">
        <v>882</v>
      </c>
      <c r="D10" s="84">
        <f>('R2023'!D10+'R2022'!D10+'R2021'!D10)/3</f>
        <v>0</v>
      </c>
      <c r="E10" s="84">
        <f>('R2023'!E10+'R2022'!E10+'R2021'!E10)/3</f>
        <v>0</v>
      </c>
      <c r="F10" s="84">
        <f>('R2023'!F10+'R2022'!F10+'R2021'!F10)/3</f>
        <v>0</v>
      </c>
      <c r="G10" s="84">
        <f>('R2023'!G10+'R2022'!G10+'R2021'!G10)/3</f>
        <v>0</v>
      </c>
      <c r="H10" s="84">
        <f>('R2023'!H10+'R2022'!H10+'R2021'!H10)/3</f>
        <v>0</v>
      </c>
      <c r="I10" s="84">
        <f>('R2023'!I10+'R2022'!I10+'R2021'!I10)/3</f>
        <v>0</v>
      </c>
      <c r="J10" s="71"/>
      <c r="K10" s="84">
        <f t="shared" si="0"/>
        <v>0</v>
      </c>
      <c r="L10" s="67">
        <f t="shared" si="1"/>
        <v>0</v>
      </c>
    </row>
    <row r="11" spans="1:12" s="25" customFormat="1" hidden="1" outlineLevel="1" x14ac:dyDescent="0.35">
      <c r="A11" s="37" t="s">
        <v>14</v>
      </c>
      <c r="B11" s="62" t="s">
        <v>15</v>
      </c>
      <c r="C11" s="54" t="s">
        <v>882</v>
      </c>
      <c r="D11" s="84">
        <f>('R2023'!D11+'R2022'!D11+'R2021'!D11)/3</f>
        <v>0</v>
      </c>
      <c r="E11" s="84">
        <f>('R2023'!E11+'R2022'!E11+'R2021'!E11)/3</f>
        <v>0</v>
      </c>
      <c r="F11" s="84">
        <f>('R2023'!F11+'R2022'!F11+'R2021'!F11)/3</f>
        <v>0</v>
      </c>
      <c r="G11" s="84">
        <f>('R2023'!G11+'R2022'!G11+'R2021'!G11)/3</f>
        <v>0</v>
      </c>
      <c r="H11" s="84">
        <f>('R2023'!H11+'R2022'!H11+'R2021'!H11)/3</f>
        <v>0</v>
      </c>
      <c r="I11" s="84">
        <f>('R2023'!I11+'R2022'!I11+'R2021'!I11)/3</f>
        <v>0</v>
      </c>
      <c r="J11" s="71"/>
      <c r="K11" s="84">
        <f t="shared" si="0"/>
        <v>0</v>
      </c>
      <c r="L11" s="67">
        <f t="shared" si="1"/>
        <v>0</v>
      </c>
    </row>
    <row r="12" spans="1:12" s="25" customFormat="1" x14ac:dyDescent="0.35">
      <c r="A12" s="37" t="s">
        <v>16</v>
      </c>
      <c r="B12" s="62" t="s">
        <v>17</v>
      </c>
      <c r="C12" s="54"/>
      <c r="D12" s="84">
        <f>('R2023'!D12+'R2022'!D12+'R2021'!D12)/3</f>
        <v>0</v>
      </c>
      <c r="E12" s="84">
        <f>('R2023'!E12+'R2022'!E12+'R2021'!E12)/3</f>
        <v>0</v>
      </c>
      <c r="F12" s="84">
        <f>('R2023'!F12+'R2022'!F12+'R2021'!F12)/3</f>
        <v>0</v>
      </c>
      <c r="G12" s="84">
        <f>('R2023'!G12+'R2022'!G12+'R2021'!G12)/3</f>
        <v>0</v>
      </c>
      <c r="H12" s="84">
        <f>('R2023'!H12+'R2022'!H12+'R2021'!H12)/3</f>
        <v>0</v>
      </c>
      <c r="I12" s="84">
        <f>('R2023'!I12+'R2022'!I12+'R2021'!I12)/3</f>
        <v>0</v>
      </c>
      <c r="J12" s="71"/>
      <c r="K12" s="84">
        <f t="shared" si="0"/>
        <v>0</v>
      </c>
      <c r="L12" s="67">
        <f t="shared" si="1"/>
        <v>0</v>
      </c>
    </row>
    <row r="13" spans="1:12" s="25" customFormat="1" x14ac:dyDescent="0.35">
      <c r="A13" s="37" t="s">
        <v>18</v>
      </c>
      <c r="B13" s="62" t="s">
        <v>19</v>
      </c>
      <c r="C13" s="54"/>
      <c r="D13" s="84">
        <f>('R2023'!D13+'R2022'!D13+'R2021'!D13)/3</f>
        <v>0</v>
      </c>
      <c r="E13" s="84">
        <f>('R2023'!E13+'R2022'!E13+'R2021'!E13)/3</f>
        <v>0</v>
      </c>
      <c r="F13" s="84">
        <f>('R2023'!F13+'R2022'!F13+'R2021'!F13)/3</f>
        <v>0</v>
      </c>
      <c r="G13" s="84">
        <f>('R2023'!G13+'R2022'!G13+'R2021'!G13)/3</f>
        <v>0</v>
      </c>
      <c r="H13" s="84">
        <f>('R2023'!H13+'R2022'!H13+'R2021'!H13)/3</f>
        <v>0</v>
      </c>
      <c r="I13" s="84">
        <f>('R2023'!I13+'R2022'!I13+'R2021'!I13)/3</f>
        <v>0</v>
      </c>
      <c r="J13" s="71"/>
      <c r="K13" s="84">
        <f t="shared" si="0"/>
        <v>0</v>
      </c>
      <c r="L13" s="67">
        <f t="shared" si="1"/>
        <v>0</v>
      </c>
    </row>
    <row r="14" spans="1:12" collapsed="1" x14ac:dyDescent="0.35">
      <c r="A14" s="37"/>
      <c r="B14" s="62" t="s">
        <v>885</v>
      </c>
      <c r="C14" s="54"/>
      <c r="D14" s="84">
        <f>('R2023'!D14+'R2022'!D14+'R2021'!D14)/3</f>
        <v>0</v>
      </c>
      <c r="E14" s="84">
        <f>('R2023'!E14+'R2022'!E14+'R2021'!E14)/3</f>
        <v>4285000</v>
      </c>
      <c r="F14" s="84">
        <f>('R2023'!F14+'R2022'!F14+'R2021'!F14)/3</f>
        <v>808832</v>
      </c>
      <c r="G14" s="84">
        <f>('R2023'!G14+'R2022'!G14+'R2021'!G14)/3</f>
        <v>931462.33333333337</v>
      </c>
      <c r="H14" s="84">
        <f>('R2023'!H14+'R2022'!H14+'R2021'!H14)/3</f>
        <v>1053000</v>
      </c>
      <c r="I14" s="84">
        <f>('R2023'!I14+'R2022'!I14+'R2021'!I14)/3</f>
        <v>0</v>
      </c>
      <c r="J14" s="71"/>
      <c r="K14" s="84">
        <f t="shared" si="0"/>
        <v>0</v>
      </c>
      <c r="L14" s="67">
        <f t="shared" si="1"/>
        <v>7078294.333333333</v>
      </c>
    </row>
    <row r="15" spans="1:12" hidden="1" outlineLevel="1" x14ac:dyDescent="0.35">
      <c r="A15" s="37" t="s">
        <v>20</v>
      </c>
      <c r="B15" s="62" t="s">
        <v>21</v>
      </c>
      <c r="C15" s="65"/>
      <c r="D15" s="84">
        <f>('R2023'!D15+'R2022'!D15+'R2021'!D15)/3</f>
        <v>0</v>
      </c>
      <c r="E15" s="84">
        <f>('R2023'!E15+'R2022'!E15+'R2021'!E15)/3</f>
        <v>0</v>
      </c>
      <c r="F15" s="84">
        <f>('R2023'!F15+'R2022'!F15+'R2021'!F15)/3</f>
        <v>43681</v>
      </c>
      <c r="G15" s="84">
        <f>('R2023'!G15+'R2022'!G15+'R2021'!G15)/3</f>
        <v>82915</v>
      </c>
      <c r="H15" s="84">
        <f>('R2023'!H15+'R2022'!H15+'R2021'!H15)/3</f>
        <v>48000</v>
      </c>
      <c r="I15" s="84">
        <f>('R2023'!I15+'R2022'!I15+'R2021'!I15)/3</f>
        <v>0</v>
      </c>
      <c r="J15" s="71"/>
      <c r="K15" s="84">
        <f t="shared" si="0"/>
        <v>0</v>
      </c>
      <c r="L15" s="67">
        <f t="shared" si="1"/>
        <v>174596</v>
      </c>
    </row>
    <row r="16" spans="1:12" hidden="1" outlineLevel="1" x14ac:dyDescent="0.35">
      <c r="A16" s="37" t="s">
        <v>22</v>
      </c>
      <c r="B16" s="62" t="s">
        <v>23</v>
      </c>
      <c r="C16" s="54" t="s">
        <v>885</v>
      </c>
      <c r="D16" s="84">
        <f>('R2023'!D16+'R2022'!D16+'R2021'!D16)/3</f>
        <v>0</v>
      </c>
      <c r="E16" s="84">
        <f>('R2023'!E16+'R2022'!E16+'R2021'!E16)/3</f>
        <v>0</v>
      </c>
      <c r="F16" s="84">
        <f>('R2023'!F16+'R2022'!F16+'R2021'!F16)/3</f>
        <v>545151</v>
      </c>
      <c r="G16" s="84">
        <f>('R2023'!G16+'R2022'!G16+'R2021'!G16)/3</f>
        <v>13344</v>
      </c>
      <c r="H16" s="84">
        <f>('R2023'!H16+'R2022'!H16+'R2021'!H16)/3</f>
        <v>105000</v>
      </c>
      <c r="I16" s="84">
        <f>('R2023'!I16+'R2022'!I16+'R2021'!I16)/3</f>
        <v>0</v>
      </c>
      <c r="J16" s="71"/>
      <c r="K16" s="84">
        <f t="shared" si="0"/>
        <v>0</v>
      </c>
      <c r="L16" s="67">
        <f t="shared" si="1"/>
        <v>663495</v>
      </c>
    </row>
    <row r="17" spans="1:12" hidden="1" outlineLevel="1" x14ac:dyDescent="0.35">
      <c r="A17" s="37" t="s">
        <v>24</v>
      </c>
      <c r="B17" s="62" t="s">
        <v>25</v>
      </c>
      <c r="C17" s="54" t="s">
        <v>885</v>
      </c>
      <c r="D17" s="84">
        <f>('R2023'!D17+'R2022'!D17+'R2021'!D17)/3</f>
        <v>0</v>
      </c>
      <c r="E17" s="84">
        <f>('R2023'!E17+'R2022'!E17+'R2021'!E17)/3</f>
        <v>0</v>
      </c>
      <c r="F17" s="84">
        <f>('R2023'!F17+'R2022'!F17+'R2021'!F17)/3</f>
        <v>220000</v>
      </c>
      <c r="G17" s="84">
        <f>('R2023'!G17+'R2022'!G17+'R2021'!G17)/3</f>
        <v>10000</v>
      </c>
      <c r="H17" s="84">
        <f>('R2023'!H17+'R2022'!H17+'R2021'!H17)/3</f>
        <v>425000</v>
      </c>
      <c r="I17" s="84">
        <f>('R2023'!I17+'R2022'!I17+'R2021'!I17)/3</f>
        <v>0</v>
      </c>
      <c r="J17" s="71"/>
      <c r="K17" s="84">
        <f t="shared" si="0"/>
        <v>0</v>
      </c>
      <c r="L17" s="67">
        <f t="shared" si="1"/>
        <v>655000</v>
      </c>
    </row>
    <row r="18" spans="1:12" hidden="1" outlineLevel="1" x14ac:dyDescent="0.35">
      <c r="A18" s="37" t="s">
        <v>26</v>
      </c>
      <c r="B18" s="62" t="s">
        <v>27</v>
      </c>
      <c r="C18" s="54" t="s">
        <v>885</v>
      </c>
      <c r="D18" s="84">
        <f>('R2023'!D18+'R2022'!D18+'R2021'!D18)/3</f>
        <v>0</v>
      </c>
      <c r="E18" s="84">
        <f>('R2023'!E18+'R2022'!E18+'R2021'!E18)/3</f>
        <v>0</v>
      </c>
      <c r="F18" s="84">
        <f>('R2023'!F18+'R2022'!F18+'R2021'!F18)/3</f>
        <v>0</v>
      </c>
      <c r="G18" s="84">
        <f>('R2023'!G18+'R2022'!G18+'R2021'!G18)/3</f>
        <v>407055</v>
      </c>
      <c r="H18" s="84">
        <f>('R2023'!H18+'R2022'!H18+'R2021'!H18)/3</f>
        <v>200000</v>
      </c>
      <c r="I18" s="84">
        <f>('R2023'!I18+'R2022'!I18+'R2021'!I18)/3</f>
        <v>0</v>
      </c>
      <c r="J18" s="71"/>
      <c r="K18" s="84">
        <f t="shared" si="0"/>
        <v>0</v>
      </c>
      <c r="L18" s="67">
        <f t="shared" si="1"/>
        <v>607055</v>
      </c>
    </row>
    <row r="19" spans="1:12" s="11" customFormat="1" hidden="1" outlineLevel="1" x14ac:dyDescent="0.35">
      <c r="A19" s="37">
        <v>1104</v>
      </c>
      <c r="B19" s="62" t="s">
        <v>28</v>
      </c>
      <c r="C19" s="54" t="s">
        <v>885</v>
      </c>
      <c r="D19" s="84">
        <f>('R2023'!D19+'R2022'!D19+'R2021'!D19)/3</f>
        <v>0</v>
      </c>
      <c r="E19" s="84">
        <f>('R2023'!E19+'R2022'!E19+'R2021'!E19)/3</f>
        <v>0</v>
      </c>
      <c r="F19" s="84">
        <f>('R2023'!F19+'R2022'!F19+'R2021'!F19)/3</f>
        <v>0</v>
      </c>
      <c r="G19" s="84">
        <f>('R2023'!G19+'R2022'!G19+'R2021'!G19)/3</f>
        <v>3148.3333333333335</v>
      </c>
      <c r="H19" s="84">
        <f>('R2023'!H19+'R2022'!H19+'R2021'!H19)/3</f>
        <v>150000</v>
      </c>
      <c r="I19" s="84">
        <f>('R2023'!I19+'R2022'!I19+'R2021'!I19)/3</f>
        <v>0</v>
      </c>
      <c r="J19" s="71"/>
      <c r="K19" s="84">
        <f t="shared" si="0"/>
        <v>0</v>
      </c>
      <c r="L19" s="67">
        <f t="shared" si="1"/>
        <v>153148.33333333334</v>
      </c>
    </row>
    <row r="20" spans="1:12" hidden="1" outlineLevel="1" x14ac:dyDescent="0.35">
      <c r="A20" s="37" t="s">
        <v>29</v>
      </c>
      <c r="B20" s="62" t="s">
        <v>30</v>
      </c>
      <c r="C20" s="54" t="s">
        <v>885</v>
      </c>
      <c r="D20" s="84">
        <f>('R2023'!D20+'R2022'!D20+'R2021'!D20)/3</f>
        <v>0</v>
      </c>
      <c r="E20" s="84">
        <f>('R2023'!E20+'R2022'!E20+'R2021'!E20)/3</f>
        <v>0</v>
      </c>
      <c r="F20" s="84">
        <f>('R2023'!F20+'R2022'!F20+'R2021'!F20)/3</f>
        <v>0</v>
      </c>
      <c r="G20" s="84">
        <f>('R2023'!G20+'R2022'!G20+'R2021'!G20)/3</f>
        <v>0</v>
      </c>
      <c r="H20" s="84">
        <f>('R2023'!H20+'R2022'!H20+'R2021'!H20)/3</f>
        <v>125000</v>
      </c>
      <c r="I20" s="84">
        <f>('R2023'!I20+'R2022'!I20+'R2021'!I20)/3</f>
        <v>0</v>
      </c>
      <c r="J20" s="71"/>
      <c r="K20" s="84">
        <f t="shared" si="0"/>
        <v>0</v>
      </c>
      <c r="L20" s="67">
        <f t="shared" si="1"/>
        <v>125000</v>
      </c>
    </row>
    <row r="21" spans="1:12" hidden="1" outlineLevel="1" x14ac:dyDescent="0.35">
      <c r="A21" s="37" t="s">
        <v>31</v>
      </c>
      <c r="B21" s="62" t="s">
        <v>32</v>
      </c>
      <c r="C21" s="54" t="s">
        <v>885</v>
      </c>
      <c r="D21" s="84">
        <f>('R2023'!D21+'R2022'!D21+'R2021'!D21)/3</f>
        <v>0</v>
      </c>
      <c r="E21" s="84">
        <f>('R2023'!E21+'R2022'!E21+'R2021'!E21)/3</f>
        <v>0</v>
      </c>
      <c r="F21" s="84">
        <f>('R2023'!F21+'R2022'!F21+'R2021'!F21)/3</f>
        <v>0</v>
      </c>
      <c r="G21" s="84">
        <f>('R2023'!G21+'R2022'!G21+'R2021'!G21)/3</f>
        <v>0</v>
      </c>
      <c r="H21" s="84">
        <f>('R2023'!H21+'R2022'!H21+'R2021'!H21)/3</f>
        <v>0</v>
      </c>
      <c r="I21" s="84">
        <f>('R2023'!I21+'R2022'!I21+'R2021'!I21)/3</f>
        <v>0</v>
      </c>
      <c r="J21" s="71"/>
      <c r="K21" s="84">
        <f t="shared" si="0"/>
        <v>0</v>
      </c>
      <c r="L21" s="67">
        <f t="shared" si="1"/>
        <v>0</v>
      </c>
    </row>
    <row r="22" spans="1:12" hidden="1" outlineLevel="1" x14ac:dyDescent="0.35">
      <c r="A22" s="37" t="s">
        <v>33</v>
      </c>
      <c r="B22" s="62" t="s">
        <v>34</v>
      </c>
      <c r="C22" s="54" t="s">
        <v>885</v>
      </c>
      <c r="D22" s="84">
        <f>('R2023'!D22+'R2022'!D22+'R2021'!D22)/3</f>
        <v>0</v>
      </c>
      <c r="E22" s="84">
        <f>('R2023'!E22+'R2022'!E22+'R2021'!E22)/3</f>
        <v>0</v>
      </c>
      <c r="F22" s="84">
        <f>('R2023'!F22+'R2022'!F22+'R2021'!F22)/3</f>
        <v>0</v>
      </c>
      <c r="G22" s="84">
        <f>('R2023'!G22+'R2022'!G22+'R2021'!G22)/3</f>
        <v>0</v>
      </c>
      <c r="H22" s="84">
        <f>('R2023'!H22+'R2022'!H22+'R2021'!H22)/3</f>
        <v>0</v>
      </c>
      <c r="I22" s="84">
        <f>('R2023'!I22+'R2022'!I22+'R2021'!I22)/3</f>
        <v>0</v>
      </c>
      <c r="J22" s="71"/>
      <c r="K22" s="84">
        <f t="shared" si="0"/>
        <v>0</v>
      </c>
      <c r="L22" s="67">
        <f t="shared" si="1"/>
        <v>0</v>
      </c>
    </row>
    <row r="23" spans="1:12" hidden="1" outlineLevel="1" x14ac:dyDescent="0.35">
      <c r="A23" s="37" t="s">
        <v>35</v>
      </c>
      <c r="B23" s="62" t="s">
        <v>36</v>
      </c>
      <c r="C23" s="54" t="s">
        <v>885</v>
      </c>
      <c r="D23" s="84">
        <f>('R2023'!D23+'R2022'!D23+'R2021'!D23)/3</f>
        <v>0</v>
      </c>
      <c r="E23" s="84">
        <f>('R2023'!E23+'R2022'!E23+'R2021'!E23)/3</f>
        <v>0</v>
      </c>
      <c r="F23" s="84">
        <f>('R2023'!F23+'R2022'!F23+'R2021'!F23)/3</f>
        <v>0</v>
      </c>
      <c r="G23" s="84">
        <f>('R2023'!G23+'R2022'!G23+'R2021'!G23)/3</f>
        <v>0</v>
      </c>
      <c r="H23" s="84">
        <f>('R2023'!H23+'R2022'!H23+'R2021'!H23)/3</f>
        <v>0</v>
      </c>
      <c r="I23" s="84">
        <f>('R2023'!I23+'R2022'!I23+'R2021'!I23)/3</f>
        <v>0</v>
      </c>
      <c r="J23" s="71"/>
      <c r="K23" s="84">
        <f t="shared" si="0"/>
        <v>0</v>
      </c>
      <c r="L23" s="67">
        <f t="shared" si="1"/>
        <v>0</v>
      </c>
    </row>
    <row r="24" spans="1:12" hidden="1" outlineLevel="1" x14ac:dyDescent="0.35">
      <c r="A24" s="37" t="s">
        <v>37</v>
      </c>
      <c r="B24" s="62" t="s">
        <v>38</v>
      </c>
      <c r="C24" s="54" t="s">
        <v>885</v>
      </c>
      <c r="D24" s="84">
        <f>('R2023'!D24+'R2022'!D24+'R2021'!D24)/3</f>
        <v>0</v>
      </c>
      <c r="E24" s="84">
        <f>('R2023'!E24+'R2022'!E24+'R2021'!E24)/3</f>
        <v>0</v>
      </c>
      <c r="F24" s="84">
        <f>('R2023'!F24+'R2022'!F24+'R2021'!F24)/3</f>
        <v>0</v>
      </c>
      <c r="G24" s="84">
        <f>('R2023'!G24+'R2022'!G24+'R2021'!G24)/3</f>
        <v>0</v>
      </c>
      <c r="H24" s="84">
        <f>('R2023'!H24+'R2022'!H24+'R2021'!H24)/3</f>
        <v>0</v>
      </c>
      <c r="I24" s="84">
        <f>('R2023'!I24+'R2022'!I24+'R2021'!I24)/3</f>
        <v>0</v>
      </c>
      <c r="J24" s="71"/>
      <c r="K24" s="84">
        <f t="shared" si="0"/>
        <v>0</v>
      </c>
      <c r="L24" s="67">
        <f t="shared" si="1"/>
        <v>0</v>
      </c>
    </row>
    <row r="25" spans="1:12" hidden="1" outlineLevel="1" x14ac:dyDescent="0.35">
      <c r="A25" s="37" t="s">
        <v>39</v>
      </c>
      <c r="B25" s="62" t="s">
        <v>40</v>
      </c>
      <c r="C25" s="54" t="s">
        <v>885</v>
      </c>
      <c r="D25" s="84">
        <f>('R2023'!D25+'R2022'!D25+'R2021'!D25)/3</f>
        <v>0</v>
      </c>
      <c r="E25" s="84">
        <f>('R2023'!E25+'R2022'!E25+'R2021'!E25)/3</f>
        <v>0</v>
      </c>
      <c r="F25" s="84">
        <f>('R2023'!F25+'R2022'!F25+'R2021'!F25)/3</f>
        <v>0</v>
      </c>
      <c r="G25" s="84">
        <f>('R2023'!G25+'R2022'!G25+'R2021'!G25)/3</f>
        <v>0</v>
      </c>
      <c r="H25" s="84">
        <f>('R2023'!H25+'R2022'!H25+'R2021'!H25)/3</f>
        <v>0</v>
      </c>
      <c r="I25" s="84">
        <f>('R2023'!I25+'R2022'!I25+'R2021'!I25)/3</f>
        <v>0</v>
      </c>
      <c r="J25" s="71"/>
      <c r="K25" s="84">
        <f t="shared" si="0"/>
        <v>0</v>
      </c>
      <c r="L25" s="67">
        <f t="shared" si="1"/>
        <v>0</v>
      </c>
    </row>
    <row r="26" spans="1:12" hidden="1" outlineLevel="1" x14ac:dyDescent="0.35">
      <c r="A26" s="37" t="s">
        <v>41</v>
      </c>
      <c r="B26" s="62" t="s">
        <v>42</v>
      </c>
      <c r="C26" s="54" t="s">
        <v>885</v>
      </c>
      <c r="D26" s="84">
        <f>('R2023'!D26+'R2022'!D26+'R2021'!D26)/3</f>
        <v>0</v>
      </c>
      <c r="E26" s="84">
        <f>('R2023'!E26+'R2022'!E26+'R2021'!E26)/3</f>
        <v>0</v>
      </c>
      <c r="F26" s="84">
        <f>('R2023'!F26+'R2022'!F26+'R2021'!F26)/3</f>
        <v>0</v>
      </c>
      <c r="G26" s="84">
        <f>('R2023'!G26+'R2022'!G26+'R2021'!G26)/3</f>
        <v>0</v>
      </c>
      <c r="H26" s="84">
        <f>('R2023'!H26+'R2022'!H26+'R2021'!H26)/3</f>
        <v>0</v>
      </c>
      <c r="I26" s="84">
        <f>('R2023'!I26+'R2022'!I26+'R2021'!I26)/3</f>
        <v>0</v>
      </c>
      <c r="J26" s="71"/>
      <c r="K26" s="84">
        <f t="shared" si="0"/>
        <v>0</v>
      </c>
      <c r="L26" s="67">
        <f t="shared" si="1"/>
        <v>0</v>
      </c>
    </row>
    <row r="27" spans="1:12" hidden="1" outlineLevel="1" x14ac:dyDescent="0.35">
      <c r="A27" s="37" t="s">
        <v>43</v>
      </c>
      <c r="B27" s="62" t="s">
        <v>44</v>
      </c>
      <c r="C27" s="54" t="s">
        <v>885</v>
      </c>
      <c r="D27" s="84">
        <f>('R2023'!D27+'R2022'!D27+'R2021'!D27)/3</f>
        <v>0</v>
      </c>
      <c r="E27" s="84">
        <f>('R2023'!E27+'R2022'!E27+'R2021'!E27)/3</f>
        <v>0</v>
      </c>
      <c r="F27" s="84">
        <f>('R2023'!F27+'R2022'!F27+'R2021'!F27)/3</f>
        <v>0</v>
      </c>
      <c r="G27" s="84">
        <f>('R2023'!G27+'R2022'!G27+'R2021'!G27)/3</f>
        <v>415000</v>
      </c>
      <c r="H27" s="84">
        <f>('R2023'!H27+'R2022'!H27+'R2021'!H27)/3</f>
        <v>0</v>
      </c>
      <c r="I27" s="84">
        <f>('R2023'!I27+'R2022'!I27+'R2021'!I27)/3</f>
        <v>0</v>
      </c>
      <c r="J27" s="71"/>
      <c r="K27" s="84">
        <f t="shared" si="0"/>
        <v>0</v>
      </c>
      <c r="L27" s="67">
        <f t="shared" si="1"/>
        <v>415000</v>
      </c>
    </row>
    <row r="28" spans="1:12" hidden="1" outlineLevel="1" x14ac:dyDescent="0.35">
      <c r="A28" s="37" t="s">
        <v>45</v>
      </c>
      <c r="B28" s="62" t="s">
        <v>46</v>
      </c>
      <c r="C28" s="54" t="s">
        <v>885</v>
      </c>
      <c r="D28" s="84">
        <f>('R2023'!D28+'R2022'!D28+'R2021'!D28)/3</f>
        <v>0</v>
      </c>
      <c r="E28" s="84">
        <f>('R2023'!E28+'R2022'!E28+'R2021'!E28)/3</f>
        <v>0</v>
      </c>
      <c r="F28" s="84">
        <f>('R2023'!F28+'R2022'!F28+'R2021'!F28)/3</f>
        <v>0</v>
      </c>
      <c r="G28" s="84">
        <f>('R2023'!G28+'R2022'!G28+'R2021'!G28)/3</f>
        <v>0</v>
      </c>
      <c r="H28" s="84">
        <f>('R2023'!H28+'R2022'!H28+'R2021'!H28)/3</f>
        <v>0</v>
      </c>
      <c r="I28" s="84">
        <f>('R2023'!I28+'R2022'!I28+'R2021'!I28)/3</f>
        <v>0</v>
      </c>
      <c r="J28" s="71"/>
      <c r="K28" s="84">
        <f t="shared" si="0"/>
        <v>0</v>
      </c>
      <c r="L28" s="67">
        <f t="shared" si="1"/>
        <v>0</v>
      </c>
    </row>
    <row r="29" spans="1:12" collapsed="1" x14ac:dyDescent="0.35">
      <c r="A29" s="37"/>
      <c r="B29" s="68" t="s">
        <v>48</v>
      </c>
      <c r="C29" s="65"/>
      <c r="D29" s="84">
        <f>('R2023'!D29+'R2022'!D29+'R2021'!D29)/3</f>
        <v>0</v>
      </c>
      <c r="E29" s="84">
        <f>('R2023'!E29+'R2022'!E29+'R2021'!E29)/3</f>
        <v>0</v>
      </c>
      <c r="F29" s="84">
        <f>('R2023'!F29+'R2022'!F29+'R2021'!F29)/3</f>
        <v>0</v>
      </c>
      <c r="G29" s="84">
        <f>('R2023'!G29+'R2022'!G29+'R2021'!G29)/3</f>
        <v>0</v>
      </c>
      <c r="H29" s="84">
        <f>('R2023'!H29+'R2022'!H29+'R2021'!H29)/3</f>
        <v>0</v>
      </c>
      <c r="I29" s="84">
        <f>('R2023'!I29+'R2022'!I29+'R2021'!I29)/3</f>
        <v>0</v>
      </c>
      <c r="J29" s="71"/>
      <c r="K29" s="84">
        <f t="shared" si="0"/>
        <v>0</v>
      </c>
      <c r="L29" s="67">
        <f t="shared" si="1"/>
        <v>0</v>
      </c>
    </row>
    <row r="30" spans="1:12" hidden="1" outlineLevel="1" collapsed="1" x14ac:dyDescent="0.35">
      <c r="A30" s="37" t="s">
        <v>47</v>
      </c>
      <c r="B30" s="62" t="s">
        <v>48</v>
      </c>
      <c r="C30" s="54" t="s">
        <v>48</v>
      </c>
      <c r="D30" s="84">
        <f>('R2023'!D30+'R2022'!D30+'R2021'!D30)/3</f>
        <v>0</v>
      </c>
      <c r="E30" s="84">
        <f>('R2023'!E30+'R2022'!E30+'R2021'!E30)/3</f>
        <v>0</v>
      </c>
      <c r="F30" s="84">
        <f>('R2023'!F30+'R2022'!F30+'R2021'!F30)/3</f>
        <v>0</v>
      </c>
      <c r="G30" s="84">
        <f>('R2023'!G30+'R2022'!G30+'R2021'!G30)/3</f>
        <v>0</v>
      </c>
      <c r="H30" s="84">
        <f>('R2023'!H30+'R2022'!H30+'R2021'!H30)/3</f>
        <v>0</v>
      </c>
      <c r="I30" s="84">
        <f>('R2023'!I30+'R2022'!I30+'R2021'!I30)/3</f>
        <v>0</v>
      </c>
      <c r="J30" s="71">
        <f t="shared" ref="J30:J33" si="2">D30+E30+F30+G30+H30</f>
        <v>0</v>
      </c>
      <c r="K30" s="84">
        <f t="shared" si="0"/>
        <v>0</v>
      </c>
      <c r="L30" s="67">
        <f t="shared" si="1"/>
        <v>0</v>
      </c>
    </row>
    <row r="31" spans="1:12" hidden="1" outlineLevel="1" x14ac:dyDescent="0.35">
      <c r="A31" s="37" t="s">
        <v>49</v>
      </c>
      <c r="B31" s="62" t="s">
        <v>50</v>
      </c>
      <c r="C31" s="54" t="s">
        <v>48</v>
      </c>
      <c r="D31" s="84">
        <f>('R2023'!D31+'R2022'!D31+'R2021'!D31)/3</f>
        <v>0</v>
      </c>
      <c r="E31" s="84">
        <f>('R2023'!E31+'R2022'!E31+'R2021'!E31)/3</f>
        <v>0</v>
      </c>
      <c r="F31" s="84">
        <f>('R2023'!F31+'R2022'!F31+'R2021'!F31)/3</f>
        <v>0</v>
      </c>
      <c r="G31" s="84">
        <f>('R2023'!G31+'R2022'!G31+'R2021'!G31)/3</f>
        <v>0</v>
      </c>
      <c r="H31" s="84">
        <f>('R2023'!H31+'R2022'!H31+'R2021'!H31)/3</f>
        <v>0</v>
      </c>
      <c r="I31" s="84">
        <f>('R2023'!I31+'R2022'!I31+'R2021'!I31)/3</f>
        <v>0</v>
      </c>
      <c r="J31" s="71">
        <f t="shared" si="2"/>
        <v>0</v>
      </c>
      <c r="K31" s="84">
        <f t="shared" si="0"/>
        <v>0</v>
      </c>
      <c r="L31" s="67">
        <f t="shared" si="1"/>
        <v>0</v>
      </c>
    </row>
    <row r="32" spans="1:12" collapsed="1" x14ac:dyDescent="0.35">
      <c r="A32" s="37"/>
      <c r="B32" s="62" t="s">
        <v>886</v>
      </c>
      <c r="C32" s="65"/>
      <c r="D32" s="84">
        <f>('R2023'!D32+'R2022'!D32+'R2021'!D32)/3</f>
        <v>0</v>
      </c>
      <c r="E32" s="84">
        <f>('R2023'!E32+'R2022'!E32+'R2021'!E32)/3</f>
        <v>0</v>
      </c>
      <c r="F32" s="84">
        <f>('R2023'!F32+'R2022'!F32+'R2021'!F32)/3</f>
        <v>142566.66666666666</v>
      </c>
      <c r="G32" s="84">
        <f>('R2023'!G32+'R2022'!G32+'R2021'!G32)/3</f>
        <v>215407.66666666666</v>
      </c>
      <c r="H32" s="84">
        <f>('R2023'!H32+'R2022'!H32+'R2021'!H32)/3</f>
        <v>143500</v>
      </c>
      <c r="I32" s="84">
        <f>('R2023'!I32+'R2022'!I32+'R2021'!I32)/3</f>
        <v>0</v>
      </c>
      <c r="J32" s="71"/>
      <c r="K32" s="84">
        <f t="shared" si="0"/>
        <v>0</v>
      </c>
      <c r="L32" s="67">
        <f t="shared" si="1"/>
        <v>501474.33333333331</v>
      </c>
    </row>
    <row r="33" spans="1:12" hidden="1" outlineLevel="1" collapsed="1" x14ac:dyDescent="0.35">
      <c r="A33" s="37" t="s">
        <v>51</v>
      </c>
      <c r="B33" s="62" t="s">
        <v>52</v>
      </c>
      <c r="C33" s="54" t="s">
        <v>886</v>
      </c>
      <c r="D33" s="84">
        <f>('R2023'!D33+'R2022'!D33+'R2021'!D33)/3</f>
        <v>0</v>
      </c>
      <c r="E33" s="84">
        <f>('R2023'!E33+'R2022'!E33+'R2021'!E33)/3</f>
        <v>0</v>
      </c>
      <c r="F33" s="84">
        <f>('R2023'!F33+'R2022'!F33+'R2021'!F33)/3</f>
        <v>0</v>
      </c>
      <c r="G33" s="84">
        <f>('R2023'!G33+'R2022'!G33+'R2021'!G33)/3</f>
        <v>0</v>
      </c>
      <c r="H33" s="84">
        <f>('R2023'!H33+'R2022'!H33+'R2021'!H33)/3</f>
        <v>21333.333333333332</v>
      </c>
      <c r="I33" s="84">
        <f>('R2023'!I33+'R2022'!I33+'R2021'!I33)/3</f>
        <v>0</v>
      </c>
      <c r="J33" s="71">
        <f t="shared" si="2"/>
        <v>21333.333333333332</v>
      </c>
      <c r="K33" s="84">
        <f t="shared" si="0"/>
        <v>21333.333333333332</v>
      </c>
      <c r="L33" s="67">
        <f t="shared" si="1"/>
        <v>42666.666666666664</v>
      </c>
    </row>
    <row r="34" spans="1:12" hidden="1" outlineLevel="1" x14ac:dyDescent="0.35">
      <c r="A34" s="37" t="s">
        <v>53</v>
      </c>
      <c r="B34" s="62" t="s">
        <v>54</v>
      </c>
      <c r="C34" s="54" t="s">
        <v>886</v>
      </c>
      <c r="D34" s="84">
        <f>('R2023'!D34+'R2022'!D34+'R2021'!D34)/3</f>
        <v>0</v>
      </c>
      <c r="E34" s="84">
        <f>('R2023'!E34+'R2022'!E34+'R2021'!E34)/3</f>
        <v>0</v>
      </c>
      <c r="F34" s="84">
        <f>('R2023'!F34+'R2022'!F34+'R2021'!F34)/3</f>
        <v>142566.66666666666</v>
      </c>
      <c r="G34" s="84">
        <f>('R2023'!G34+'R2022'!G34+'R2021'!G34)/3</f>
        <v>215407.66666666666</v>
      </c>
      <c r="H34" s="84">
        <f>('R2023'!H34+'R2022'!H34+'R2021'!H34)/3</f>
        <v>122166.66666666667</v>
      </c>
      <c r="I34" s="84">
        <f>('R2023'!I34+'R2022'!I34+'R2021'!I34)/3</f>
        <v>0</v>
      </c>
      <c r="J34" s="71"/>
      <c r="K34" s="84">
        <f t="shared" si="0"/>
        <v>0</v>
      </c>
      <c r="L34" s="67">
        <f t="shared" si="1"/>
        <v>480141</v>
      </c>
    </row>
    <row r="35" spans="1:12" hidden="1" outlineLevel="1" x14ac:dyDescent="0.35">
      <c r="A35" s="37" t="s">
        <v>55</v>
      </c>
      <c r="B35" s="62" t="s">
        <v>56</v>
      </c>
      <c r="C35" s="54" t="s">
        <v>886</v>
      </c>
      <c r="D35" s="84">
        <f>('R2023'!D35+'R2022'!D35+'R2021'!D35)/3</f>
        <v>0</v>
      </c>
      <c r="E35" s="84">
        <f>('R2023'!E35+'R2022'!E35+'R2021'!E35)/3</f>
        <v>0</v>
      </c>
      <c r="F35" s="84">
        <f>('R2023'!F35+'R2022'!F35+'R2021'!F35)/3</f>
        <v>0</v>
      </c>
      <c r="G35" s="84">
        <f>('R2023'!G35+'R2022'!G35+'R2021'!G35)/3</f>
        <v>0</v>
      </c>
      <c r="H35" s="84">
        <f>('R2023'!H35+'R2022'!H35+'R2021'!H35)/3</f>
        <v>0</v>
      </c>
      <c r="I35" s="84">
        <f>('R2023'!I35+'R2022'!I35+'R2021'!I35)/3</f>
        <v>0</v>
      </c>
      <c r="J35" s="71"/>
      <c r="K35" s="84">
        <f t="shared" si="0"/>
        <v>0</v>
      </c>
      <c r="L35" s="67">
        <f t="shared" si="1"/>
        <v>0</v>
      </c>
    </row>
    <row r="36" spans="1:12" hidden="1" outlineLevel="1" x14ac:dyDescent="0.35">
      <c r="A36" s="37" t="s">
        <v>57</v>
      </c>
      <c r="B36" s="62" t="s">
        <v>58</v>
      </c>
      <c r="C36" s="54" t="s">
        <v>886</v>
      </c>
      <c r="D36" s="84">
        <f>('R2023'!D36+'R2022'!D36+'R2021'!D36)/3</f>
        <v>0</v>
      </c>
      <c r="E36" s="84">
        <f>('R2023'!E36+'R2022'!E36+'R2021'!E36)/3</f>
        <v>0</v>
      </c>
      <c r="F36" s="84">
        <f>('R2023'!F36+'R2022'!F36+'R2021'!F36)/3</f>
        <v>0</v>
      </c>
      <c r="G36" s="84">
        <f>('R2023'!G36+'R2022'!G36+'R2021'!G36)/3</f>
        <v>0</v>
      </c>
      <c r="H36" s="84">
        <f>('R2023'!H36+'R2022'!H36+'R2021'!H36)/3</f>
        <v>0</v>
      </c>
      <c r="I36" s="84">
        <f>('R2023'!I36+'R2022'!I36+'R2021'!I36)/3</f>
        <v>0</v>
      </c>
      <c r="J36" s="71"/>
      <c r="K36" s="84">
        <f t="shared" si="0"/>
        <v>0</v>
      </c>
      <c r="L36" s="67">
        <f t="shared" si="1"/>
        <v>0</v>
      </c>
    </row>
    <row r="37" spans="1:12" hidden="1" outlineLevel="1" x14ac:dyDescent="0.35">
      <c r="A37" s="37" t="s">
        <v>59</v>
      </c>
      <c r="B37" s="62" t="s">
        <v>60</v>
      </c>
      <c r="C37" s="54" t="s">
        <v>886</v>
      </c>
      <c r="D37" s="84">
        <f>('R2023'!D37+'R2022'!D37+'R2021'!D37)/3</f>
        <v>0</v>
      </c>
      <c r="E37" s="84">
        <f>('R2023'!E37+'R2022'!E37+'R2021'!E37)/3</f>
        <v>0</v>
      </c>
      <c r="F37" s="84">
        <f>('R2023'!F37+'R2022'!F37+'R2021'!F37)/3</f>
        <v>0</v>
      </c>
      <c r="G37" s="84">
        <f>('R2023'!G37+'R2022'!G37+'R2021'!G37)/3</f>
        <v>0</v>
      </c>
      <c r="H37" s="84">
        <f>('R2023'!H37+'R2022'!H37+'R2021'!H37)/3</f>
        <v>0</v>
      </c>
      <c r="I37" s="84">
        <f>('R2023'!I37+'R2022'!I37+'R2021'!I37)/3</f>
        <v>0</v>
      </c>
      <c r="J37" s="71"/>
      <c r="K37" s="84">
        <f t="shared" si="0"/>
        <v>0</v>
      </c>
      <c r="L37" s="67">
        <f t="shared" si="1"/>
        <v>0</v>
      </c>
    </row>
    <row r="38" spans="1:12" hidden="1" outlineLevel="1" x14ac:dyDescent="0.35">
      <c r="A38" s="37" t="s">
        <v>61</v>
      </c>
      <c r="B38" s="62" t="s">
        <v>62</v>
      </c>
      <c r="C38" s="54" t="s">
        <v>886</v>
      </c>
      <c r="D38" s="84">
        <f>('R2023'!D38+'R2022'!D38+'R2021'!D38)/3</f>
        <v>0</v>
      </c>
      <c r="E38" s="84">
        <f>('R2023'!E38+'R2022'!E38+'R2021'!E38)/3</f>
        <v>0</v>
      </c>
      <c r="F38" s="84">
        <f>('R2023'!F38+'R2022'!F38+'R2021'!F38)/3</f>
        <v>0</v>
      </c>
      <c r="G38" s="84">
        <f>('R2023'!G38+'R2022'!G38+'R2021'!G38)/3</f>
        <v>0</v>
      </c>
      <c r="H38" s="84">
        <f>('R2023'!H38+'R2022'!H38+'R2021'!H38)/3</f>
        <v>0</v>
      </c>
      <c r="I38" s="84">
        <f>('R2023'!I38+'R2022'!I38+'R2021'!I38)/3</f>
        <v>0</v>
      </c>
      <c r="J38" s="71"/>
      <c r="K38" s="84">
        <f t="shared" si="0"/>
        <v>0</v>
      </c>
      <c r="L38" s="67">
        <f t="shared" si="1"/>
        <v>0</v>
      </c>
    </row>
    <row r="39" spans="1:12" collapsed="1" x14ac:dyDescent="0.35">
      <c r="A39" s="37" t="s">
        <v>63</v>
      </c>
      <c r="B39" s="62" t="s">
        <v>64</v>
      </c>
      <c r="C39" s="54" t="s">
        <v>64</v>
      </c>
      <c r="D39" s="84">
        <f>('R2023'!D39+'R2022'!D39+'R2021'!D39)/3</f>
        <v>0</v>
      </c>
      <c r="E39" s="84">
        <f>('R2023'!E39+'R2022'!E39+'R2021'!E39)/3</f>
        <v>0</v>
      </c>
      <c r="F39" s="84">
        <f>('R2023'!F39+'R2022'!F39+'R2021'!F39)/3</f>
        <v>0</v>
      </c>
      <c r="G39" s="84">
        <f>('R2023'!G39+'R2022'!G39+'R2021'!G39)/3</f>
        <v>0</v>
      </c>
      <c r="H39" s="84">
        <f>('R2023'!H39+'R2022'!H39+'R2021'!H39)/3</f>
        <v>0</v>
      </c>
      <c r="I39" s="84">
        <f>('R2023'!I39+'R2022'!I39+'R2021'!I39)/3</f>
        <v>0</v>
      </c>
      <c r="J39" s="71"/>
      <c r="K39" s="84">
        <f t="shared" si="0"/>
        <v>0</v>
      </c>
      <c r="L39" s="67">
        <f t="shared" si="1"/>
        <v>0</v>
      </c>
    </row>
    <row r="40" spans="1:12" x14ac:dyDescent="0.35">
      <c r="A40" s="37" t="s">
        <v>65</v>
      </c>
      <c r="B40" s="62" t="s">
        <v>66</v>
      </c>
      <c r="C40" s="54" t="s">
        <v>66</v>
      </c>
      <c r="D40" s="84">
        <f>('R2023'!D40+'R2022'!D40+'R2021'!D40)/3</f>
        <v>0</v>
      </c>
      <c r="E40" s="84">
        <f>('R2023'!E40+'R2022'!E40+'R2021'!E40)/3</f>
        <v>0</v>
      </c>
      <c r="F40" s="84">
        <f>('R2023'!F40+'R2022'!F40+'R2021'!F40)/3</f>
        <v>0</v>
      </c>
      <c r="G40" s="84">
        <f>('R2023'!G40+'R2022'!G40+'R2021'!G40)/3</f>
        <v>0</v>
      </c>
      <c r="H40" s="84">
        <f>('R2023'!H40+'R2022'!H40+'R2021'!H40)/3</f>
        <v>0</v>
      </c>
      <c r="I40" s="84">
        <f>('R2023'!I40+'R2022'!I40+'R2021'!I40)/3</f>
        <v>0</v>
      </c>
      <c r="J40" s="71"/>
      <c r="K40" s="84">
        <f t="shared" si="0"/>
        <v>0</v>
      </c>
      <c r="L40" s="67">
        <f t="shared" si="1"/>
        <v>0</v>
      </c>
    </row>
    <row r="41" spans="1:12" x14ac:dyDescent="0.35">
      <c r="A41" s="37" t="s">
        <v>67</v>
      </c>
      <c r="B41" s="62" t="s">
        <v>68</v>
      </c>
      <c r="C41" s="54" t="s">
        <v>68</v>
      </c>
      <c r="D41" s="84">
        <f>('R2023'!D41+'R2022'!D41+'R2021'!D41)/3</f>
        <v>0</v>
      </c>
      <c r="E41" s="84">
        <f>('R2023'!E41+'R2022'!E41+'R2021'!E41)/3</f>
        <v>0</v>
      </c>
      <c r="F41" s="84">
        <f>('R2023'!F41+'R2022'!F41+'R2021'!F41)/3</f>
        <v>0</v>
      </c>
      <c r="G41" s="84">
        <f>('R2023'!G41+'R2022'!G41+'R2021'!G41)/3</f>
        <v>0</v>
      </c>
      <c r="H41" s="84">
        <f>('R2023'!H41+'R2022'!H41+'R2021'!H41)/3</f>
        <v>0</v>
      </c>
      <c r="I41" s="84">
        <f>('R2023'!I41+'R2022'!I41+'R2021'!I41)/3</f>
        <v>0</v>
      </c>
      <c r="J41" s="71"/>
      <c r="K41" s="84">
        <f t="shared" si="0"/>
        <v>0</v>
      </c>
      <c r="L41" s="67">
        <f t="shared" si="1"/>
        <v>0</v>
      </c>
    </row>
    <row r="42" spans="1:12" x14ac:dyDescent="0.35">
      <c r="A42" s="37" t="s">
        <v>69</v>
      </c>
      <c r="B42" s="62" t="s">
        <v>70</v>
      </c>
      <c r="C42" s="54" t="s">
        <v>887</v>
      </c>
      <c r="D42" s="84">
        <f>('R2023'!D42+'R2022'!D42+'R2021'!D42)/3</f>
        <v>0</v>
      </c>
      <c r="E42" s="84">
        <f>('R2023'!E42+'R2022'!E42+'R2021'!E42)/3</f>
        <v>666.66666666666663</v>
      </c>
      <c r="F42" s="84">
        <f>('R2023'!F42+'R2022'!F42+'R2021'!F42)/3</f>
        <v>0</v>
      </c>
      <c r="G42" s="84">
        <f>('R2023'!G42+'R2022'!G42+'R2021'!G42)/3</f>
        <v>0</v>
      </c>
      <c r="H42" s="84">
        <f>('R2023'!H42+'R2022'!H42+'R2021'!H42)/3</f>
        <v>0</v>
      </c>
      <c r="I42" s="84">
        <f>('R2023'!I42+'R2022'!I42+'R2021'!I42)/3</f>
        <v>0</v>
      </c>
      <c r="J42" s="71"/>
      <c r="K42" s="84">
        <f t="shared" si="0"/>
        <v>0</v>
      </c>
      <c r="L42" s="67">
        <f t="shared" si="1"/>
        <v>666.66666666666663</v>
      </c>
    </row>
    <row r="43" spans="1:12" x14ac:dyDescent="0.35">
      <c r="A43" s="37" t="s">
        <v>71</v>
      </c>
      <c r="B43" s="62" t="s">
        <v>72</v>
      </c>
      <c r="C43" s="54" t="s">
        <v>72</v>
      </c>
      <c r="D43" s="84">
        <f>('R2023'!D43+'R2022'!D43+'R2021'!D43)/3</f>
        <v>0</v>
      </c>
      <c r="E43" s="84">
        <f>('R2023'!E43+'R2022'!E43+'R2021'!E43)/3</f>
        <v>0</v>
      </c>
      <c r="F43" s="84">
        <f>('R2023'!F43+'R2022'!F43+'R2021'!F43)/3</f>
        <v>0</v>
      </c>
      <c r="G43" s="84">
        <f>('R2023'!G43+'R2022'!G43+'R2021'!G43)/3</f>
        <v>0</v>
      </c>
      <c r="H43" s="84">
        <f>('R2023'!H43+'R2022'!H43+'R2021'!H43)/3</f>
        <v>0</v>
      </c>
      <c r="I43" s="84">
        <f>('R2023'!I43+'R2022'!I43+'R2021'!I43)/3</f>
        <v>0</v>
      </c>
      <c r="J43" s="71"/>
      <c r="K43" s="84">
        <f t="shared" si="0"/>
        <v>0</v>
      </c>
      <c r="L43" s="67">
        <f t="shared" si="1"/>
        <v>0</v>
      </c>
    </row>
    <row r="44" spans="1:12" collapsed="1" x14ac:dyDescent="0.35">
      <c r="A44" s="37"/>
      <c r="B44" s="62" t="s">
        <v>888</v>
      </c>
      <c r="C44" s="54"/>
      <c r="D44" s="84">
        <f>('R2023'!D44+'R2022'!D44+'R2021'!D44)/3</f>
        <v>0</v>
      </c>
      <c r="E44" s="84">
        <f>('R2023'!E44+'R2022'!E44+'R2021'!E44)/3</f>
        <v>0</v>
      </c>
      <c r="F44" s="84">
        <f>('R2023'!F44+'R2022'!F44+'R2021'!F44)/3</f>
        <v>0</v>
      </c>
      <c r="G44" s="84">
        <f>('R2023'!G44+'R2022'!G44+'R2021'!G44)/3</f>
        <v>0</v>
      </c>
      <c r="H44" s="84">
        <f>('R2023'!H44+'R2022'!H44+'R2021'!H44)/3</f>
        <v>0</v>
      </c>
      <c r="I44" s="84">
        <f>('R2023'!I44+'R2022'!I44+'R2021'!I44)/3</f>
        <v>0</v>
      </c>
      <c r="J44" s="71"/>
      <c r="K44" s="84">
        <f t="shared" si="0"/>
        <v>0</v>
      </c>
      <c r="L44" s="67">
        <f t="shared" si="1"/>
        <v>0</v>
      </c>
    </row>
    <row r="45" spans="1:12" hidden="1" outlineLevel="1" x14ac:dyDescent="0.35">
      <c r="A45" s="37" t="s">
        <v>73</v>
      </c>
      <c r="B45" s="69" t="s">
        <v>74</v>
      </c>
      <c r="C45" s="54" t="s">
        <v>888</v>
      </c>
      <c r="D45" s="84">
        <f>('R2023'!D45+'R2022'!D45+'R2021'!D45)/3</f>
        <v>0</v>
      </c>
      <c r="E45" s="84">
        <f>('R2023'!E45+'R2022'!E45+'R2021'!E45)/3</f>
        <v>0</v>
      </c>
      <c r="F45" s="84">
        <f>('R2023'!F45+'R2022'!F45+'R2021'!F45)/3</f>
        <v>0</v>
      </c>
      <c r="G45" s="84">
        <f>('R2023'!G45+'R2022'!G45+'R2021'!G45)/3</f>
        <v>0</v>
      </c>
      <c r="H45" s="84">
        <f>('R2023'!H45+'R2022'!H45+'R2021'!H45)/3</f>
        <v>0</v>
      </c>
      <c r="I45" s="84">
        <f>('R2023'!I45+'R2022'!I45+'R2021'!I45)/3</f>
        <v>0</v>
      </c>
      <c r="J45" s="71"/>
      <c r="K45" s="84">
        <f t="shared" si="0"/>
        <v>0</v>
      </c>
      <c r="L45" s="67">
        <f t="shared" si="1"/>
        <v>0</v>
      </c>
    </row>
    <row r="46" spans="1:12" hidden="1" outlineLevel="1" x14ac:dyDescent="0.35">
      <c r="A46" s="37" t="s">
        <v>75</v>
      </c>
      <c r="B46" s="69" t="s">
        <v>76</v>
      </c>
      <c r="C46" s="54" t="s">
        <v>888</v>
      </c>
      <c r="D46" s="84">
        <f>('R2023'!D46+'R2022'!D46+'R2021'!D46)/3</f>
        <v>0</v>
      </c>
      <c r="E46" s="84">
        <f>('R2023'!E46+'R2022'!E46+'R2021'!E46)/3</f>
        <v>0</v>
      </c>
      <c r="F46" s="84">
        <f>('R2023'!F46+'R2022'!F46+'R2021'!F46)/3</f>
        <v>0</v>
      </c>
      <c r="G46" s="84">
        <f>('R2023'!G46+'R2022'!G46+'R2021'!G46)/3</f>
        <v>0</v>
      </c>
      <c r="H46" s="84">
        <f>('R2023'!H46+'R2022'!H46+'R2021'!H46)/3</f>
        <v>0</v>
      </c>
      <c r="I46" s="84">
        <f>('R2023'!I46+'R2022'!I46+'R2021'!I46)/3</f>
        <v>0</v>
      </c>
      <c r="J46" s="71"/>
      <c r="K46" s="84">
        <f t="shared" si="0"/>
        <v>0</v>
      </c>
      <c r="L46" s="67">
        <f t="shared" si="1"/>
        <v>0</v>
      </c>
    </row>
    <row r="47" spans="1:12" collapsed="1" x14ac:dyDescent="0.35">
      <c r="A47" s="37"/>
      <c r="B47" s="62" t="s">
        <v>889</v>
      </c>
      <c r="C47" s="54"/>
      <c r="D47" s="84">
        <f>('R2023'!D47+'R2022'!D47+'R2021'!D47)/3</f>
        <v>0</v>
      </c>
      <c r="E47" s="84">
        <f>('R2023'!E47+'R2022'!E47+'R2021'!E47)/3</f>
        <v>0</v>
      </c>
      <c r="F47" s="84">
        <f>('R2023'!F47+'R2022'!F47+'R2021'!F47)/3</f>
        <v>0</v>
      </c>
      <c r="G47" s="84">
        <f>('R2023'!G47+'R2022'!G47+'R2021'!G47)/3</f>
        <v>0</v>
      </c>
      <c r="H47" s="84">
        <f>('R2023'!H47+'R2022'!H47+'R2021'!H47)/3</f>
        <v>0</v>
      </c>
      <c r="I47" s="84">
        <f>('R2023'!I47+'R2022'!I47+'R2021'!I47)/3</f>
        <v>0</v>
      </c>
      <c r="J47" s="71"/>
      <c r="K47" s="84">
        <f t="shared" si="0"/>
        <v>0</v>
      </c>
      <c r="L47" s="67">
        <f t="shared" si="1"/>
        <v>0</v>
      </c>
    </row>
    <row r="48" spans="1:12" hidden="1" outlineLevel="1" x14ac:dyDescent="0.35">
      <c r="A48" s="37" t="s">
        <v>77</v>
      </c>
      <c r="B48" s="62" t="s">
        <v>78</v>
      </c>
      <c r="C48" s="54" t="s">
        <v>889</v>
      </c>
      <c r="D48" s="84">
        <f>('R2023'!D48+'R2022'!D48+'R2021'!D48)/3</f>
        <v>0</v>
      </c>
      <c r="E48" s="84">
        <f>('R2023'!E48+'R2022'!E48+'R2021'!E48)/3</f>
        <v>0</v>
      </c>
      <c r="F48" s="84">
        <f>('R2023'!F48+'R2022'!F48+'R2021'!F48)/3</f>
        <v>0</v>
      </c>
      <c r="G48" s="84">
        <f>('R2023'!G48+'R2022'!G48+'R2021'!G48)/3</f>
        <v>0</v>
      </c>
      <c r="H48" s="84">
        <f>('R2023'!H48+'R2022'!H48+'R2021'!H48)/3</f>
        <v>0</v>
      </c>
      <c r="I48" s="84">
        <f>('R2023'!I48+'R2022'!I48+'R2021'!I48)/3</f>
        <v>0</v>
      </c>
      <c r="J48" s="71"/>
      <c r="K48" s="84">
        <f t="shared" si="0"/>
        <v>0</v>
      </c>
      <c r="L48" s="67">
        <f t="shared" si="1"/>
        <v>0</v>
      </c>
    </row>
    <row r="49" spans="1:12" hidden="1" outlineLevel="1" x14ac:dyDescent="0.35">
      <c r="A49" s="37" t="s">
        <v>79</v>
      </c>
      <c r="B49" s="62" t="s">
        <v>80</v>
      </c>
      <c r="C49" s="54" t="s">
        <v>889</v>
      </c>
      <c r="D49" s="84">
        <f>('R2023'!D49+'R2022'!D49+'R2021'!D49)/3</f>
        <v>0</v>
      </c>
      <c r="E49" s="84">
        <f>('R2023'!E49+'R2022'!E49+'R2021'!E49)/3</f>
        <v>0</v>
      </c>
      <c r="F49" s="84">
        <f>('R2023'!F49+'R2022'!F49+'R2021'!F49)/3</f>
        <v>0</v>
      </c>
      <c r="G49" s="84">
        <f>('R2023'!G49+'R2022'!G49+'R2021'!G49)/3</f>
        <v>0</v>
      </c>
      <c r="H49" s="84">
        <f>('R2023'!H49+'R2022'!H49+'R2021'!H49)/3</f>
        <v>0</v>
      </c>
      <c r="I49" s="84">
        <f>('R2023'!I49+'R2022'!I49+'R2021'!I49)/3</f>
        <v>0</v>
      </c>
      <c r="J49" s="71"/>
      <c r="K49" s="84">
        <f t="shared" si="0"/>
        <v>0</v>
      </c>
      <c r="L49" s="67">
        <f t="shared" si="1"/>
        <v>0</v>
      </c>
    </row>
    <row r="50" spans="1:12" hidden="1" outlineLevel="1" x14ac:dyDescent="0.35">
      <c r="A50" s="37" t="s">
        <v>81</v>
      </c>
      <c r="B50" s="69" t="s">
        <v>82</v>
      </c>
      <c r="C50" s="54" t="s">
        <v>889</v>
      </c>
      <c r="D50" s="84">
        <f>('R2023'!D50+'R2022'!D50+'R2021'!D50)/3</f>
        <v>0</v>
      </c>
      <c r="E50" s="84">
        <f>('R2023'!E50+'R2022'!E50+'R2021'!E50)/3</f>
        <v>0</v>
      </c>
      <c r="F50" s="84">
        <f>('R2023'!F50+'R2022'!F50+'R2021'!F50)/3</f>
        <v>0</v>
      </c>
      <c r="G50" s="84">
        <f>('R2023'!G50+'R2022'!G50+'R2021'!G50)/3</f>
        <v>0</v>
      </c>
      <c r="H50" s="84">
        <f>('R2023'!H50+'R2022'!H50+'R2021'!H50)/3</f>
        <v>0</v>
      </c>
      <c r="I50" s="84">
        <f>('R2023'!I50+'R2022'!I50+'R2021'!I50)/3</f>
        <v>0</v>
      </c>
      <c r="J50" s="71"/>
      <c r="K50" s="84">
        <f t="shared" si="0"/>
        <v>0</v>
      </c>
      <c r="L50" s="67">
        <f t="shared" si="1"/>
        <v>0</v>
      </c>
    </row>
    <row r="51" spans="1:12" hidden="1" outlineLevel="1" x14ac:dyDescent="0.35">
      <c r="A51" s="47" t="s">
        <v>83</v>
      </c>
      <c r="B51" s="70" t="s">
        <v>84</v>
      </c>
      <c r="C51" s="54" t="s">
        <v>889</v>
      </c>
      <c r="D51" s="84">
        <f>('R2023'!D51+'R2022'!D51+'R2021'!D51)/3</f>
        <v>0</v>
      </c>
      <c r="E51" s="84">
        <f>('R2023'!E51+'R2022'!E51+'R2021'!E51)/3</f>
        <v>0</v>
      </c>
      <c r="F51" s="84">
        <f>('R2023'!F51+'R2022'!F51+'R2021'!F51)/3</f>
        <v>0</v>
      </c>
      <c r="G51" s="84">
        <f>('R2023'!G51+'R2022'!G51+'R2021'!G51)/3</f>
        <v>0</v>
      </c>
      <c r="H51" s="84">
        <f>('R2023'!H51+'R2022'!H51+'R2021'!H51)/3</f>
        <v>0</v>
      </c>
      <c r="I51" s="84">
        <f>('R2023'!I51+'R2022'!I51+'R2021'!I51)/3</f>
        <v>0</v>
      </c>
      <c r="J51" s="71"/>
      <c r="K51" s="84">
        <f t="shared" si="0"/>
        <v>0</v>
      </c>
      <c r="L51" s="67">
        <f t="shared" si="1"/>
        <v>0</v>
      </c>
    </row>
    <row r="52" spans="1:12" collapsed="1" x14ac:dyDescent="0.35">
      <c r="A52" s="47"/>
      <c r="B52" s="62" t="s">
        <v>890</v>
      </c>
      <c r="C52" s="54"/>
      <c r="D52" s="84">
        <f>('R2023'!D52+'R2022'!D52+'R2021'!D52)/3</f>
        <v>0</v>
      </c>
      <c r="E52" s="84">
        <f>('R2023'!E52+'R2022'!E52+'R2021'!E52)/3</f>
        <v>0</v>
      </c>
      <c r="F52" s="84">
        <f>('R2023'!F52+'R2022'!F52+'R2021'!F52)/3</f>
        <v>172660.33333333334</v>
      </c>
      <c r="G52" s="84">
        <f>('R2023'!G52+'R2022'!G52+'R2021'!G52)/3</f>
        <v>48209.333333333336</v>
      </c>
      <c r="H52" s="84">
        <f>('R2023'!H52+'R2022'!H52+'R2021'!H52)/3</f>
        <v>113398</v>
      </c>
      <c r="I52" s="84">
        <f>('R2023'!I52+'R2022'!I52+'R2021'!I52)/3</f>
        <v>0</v>
      </c>
      <c r="J52" s="71"/>
      <c r="K52" s="84">
        <f t="shared" si="0"/>
        <v>0</v>
      </c>
      <c r="L52" s="67">
        <f t="shared" si="1"/>
        <v>334267.66666666669</v>
      </c>
    </row>
    <row r="53" spans="1:12" hidden="1" outlineLevel="1" x14ac:dyDescent="0.35">
      <c r="A53" s="37" t="s">
        <v>85</v>
      </c>
      <c r="B53" s="62" t="s">
        <v>86</v>
      </c>
      <c r="C53" s="54" t="s">
        <v>890</v>
      </c>
      <c r="D53" s="84">
        <f>('R2023'!D53+'R2022'!D53+'R2021'!D53)/3</f>
        <v>0</v>
      </c>
      <c r="E53" s="84">
        <f>('R2023'!E53+'R2022'!E53+'R2021'!E53)/3</f>
        <v>0</v>
      </c>
      <c r="F53" s="84">
        <f>('R2023'!F53+'R2022'!F53+'R2021'!F53)/3</f>
        <v>0</v>
      </c>
      <c r="G53" s="84">
        <f>('R2023'!G53+'R2022'!G53+'R2021'!G53)/3</f>
        <v>0</v>
      </c>
      <c r="H53" s="84">
        <f>('R2023'!H53+'R2022'!H53+'R2021'!H53)/3</f>
        <v>0</v>
      </c>
      <c r="I53" s="84">
        <f>('R2023'!I53+'R2022'!I53+'R2021'!I53)/3</f>
        <v>0</v>
      </c>
      <c r="J53" s="71"/>
      <c r="K53" s="84">
        <f t="shared" si="0"/>
        <v>0</v>
      </c>
      <c r="L53" s="67">
        <f t="shared" si="1"/>
        <v>0</v>
      </c>
    </row>
    <row r="54" spans="1:12" hidden="1" outlineLevel="1" x14ac:dyDescent="0.35">
      <c r="A54" s="37" t="s">
        <v>87</v>
      </c>
      <c r="B54" s="62" t="s">
        <v>88</v>
      </c>
      <c r="C54" s="54" t="s">
        <v>890</v>
      </c>
      <c r="D54" s="84">
        <f>('R2023'!D54+'R2022'!D54+'R2021'!D54)/3</f>
        <v>0</v>
      </c>
      <c r="E54" s="84">
        <f>('R2023'!E54+'R2022'!E54+'R2021'!E54)/3</f>
        <v>0</v>
      </c>
      <c r="F54" s="84">
        <f>('R2023'!F54+'R2022'!F54+'R2021'!F54)/3</f>
        <v>0</v>
      </c>
      <c r="G54" s="84">
        <f>('R2023'!G54+'R2022'!G54+'R2021'!G54)/3</f>
        <v>0</v>
      </c>
      <c r="H54" s="84">
        <f>('R2023'!H54+'R2022'!H54+'R2021'!H54)/3</f>
        <v>0</v>
      </c>
      <c r="I54" s="84">
        <f>('R2023'!I54+'R2022'!I54+'R2021'!I54)/3</f>
        <v>0</v>
      </c>
      <c r="J54" s="71"/>
      <c r="K54" s="84">
        <f t="shared" si="0"/>
        <v>0</v>
      </c>
      <c r="L54" s="67">
        <f t="shared" si="1"/>
        <v>0</v>
      </c>
    </row>
    <row r="55" spans="1:12" hidden="1" outlineLevel="1" x14ac:dyDescent="0.35">
      <c r="A55" s="37" t="s">
        <v>89</v>
      </c>
      <c r="B55" s="62" t="s">
        <v>90</v>
      </c>
      <c r="C55" s="54" t="s">
        <v>890</v>
      </c>
      <c r="D55" s="84">
        <f>('R2023'!D55+'R2022'!D55+'R2021'!D55)/3</f>
        <v>0</v>
      </c>
      <c r="E55" s="84">
        <f>('R2023'!E55+'R2022'!E55+'R2021'!E55)/3</f>
        <v>0</v>
      </c>
      <c r="F55" s="84">
        <f>('R2023'!F55+'R2022'!F55+'R2021'!F55)/3</f>
        <v>0</v>
      </c>
      <c r="G55" s="84">
        <f>('R2023'!G55+'R2022'!G55+'R2021'!G55)/3</f>
        <v>0</v>
      </c>
      <c r="H55" s="84">
        <f>('R2023'!H55+'R2022'!H55+'R2021'!H55)/3</f>
        <v>0</v>
      </c>
      <c r="I55" s="84">
        <f>('R2023'!I55+'R2022'!I55+'R2021'!I55)/3</f>
        <v>0</v>
      </c>
      <c r="J55" s="71"/>
      <c r="K55" s="84">
        <f t="shared" si="0"/>
        <v>0</v>
      </c>
      <c r="L55" s="67">
        <f t="shared" si="1"/>
        <v>0</v>
      </c>
    </row>
    <row r="56" spans="1:12" hidden="1" outlineLevel="1" x14ac:dyDescent="0.35">
      <c r="A56" s="37" t="s">
        <v>91</v>
      </c>
      <c r="B56" s="62" t="s">
        <v>92</v>
      </c>
      <c r="C56" s="54" t="s">
        <v>890</v>
      </c>
      <c r="D56" s="84">
        <f>('R2023'!D56+'R2022'!D56+'R2021'!D56)/3</f>
        <v>0</v>
      </c>
      <c r="E56" s="84">
        <f>('R2023'!E56+'R2022'!E56+'R2021'!E56)/3</f>
        <v>0</v>
      </c>
      <c r="F56" s="84">
        <f>('R2023'!F56+'R2022'!F56+'R2021'!F56)/3</f>
        <v>172660.33333333334</v>
      </c>
      <c r="G56" s="84">
        <f>('R2023'!G56+'R2022'!G56+'R2021'!G56)/3</f>
        <v>92467.333333333328</v>
      </c>
      <c r="H56" s="84">
        <f>('R2023'!H56+'R2022'!H56+'R2021'!H56)/3</f>
        <v>1000</v>
      </c>
      <c r="I56" s="84">
        <f>('R2023'!I56+'R2022'!I56+'R2021'!I56)/3</f>
        <v>0</v>
      </c>
      <c r="J56" s="71"/>
      <c r="K56" s="84">
        <f t="shared" si="0"/>
        <v>0</v>
      </c>
      <c r="L56" s="67">
        <f t="shared" si="1"/>
        <v>266127.66666666669</v>
      </c>
    </row>
    <row r="57" spans="1:12" hidden="1" outlineLevel="1" x14ac:dyDescent="0.35">
      <c r="A57" s="37" t="s">
        <v>93</v>
      </c>
      <c r="B57" s="62" t="s">
        <v>94</v>
      </c>
      <c r="C57" s="54" t="s">
        <v>890</v>
      </c>
      <c r="D57" s="84">
        <f>('R2023'!D57+'R2022'!D57+'R2021'!D57)/3</f>
        <v>0</v>
      </c>
      <c r="E57" s="84">
        <f>('R2023'!E57+'R2022'!E57+'R2021'!E57)/3</f>
        <v>0</v>
      </c>
      <c r="F57" s="84">
        <f>('R2023'!F57+'R2022'!F57+'R2021'!F57)/3</f>
        <v>0</v>
      </c>
      <c r="G57" s="84">
        <f>('R2023'!G57+'R2022'!G57+'R2021'!G57)/3</f>
        <v>-44258</v>
      </c>
      <c r="H57" s="84">
        <f>('R2023'!H57+'R2022'!H57+'R2021'!H57)/3</f>
        <v>112398</v>
      </c>
      <c r="I57" s="84">
        <f>('R2023'!I57+'R2022'!I57+'R2021'!I57)/3</f>
        <v>0</v>
      </c>
      <c r="J57" s="71"/>
      <c r="K57" s="84">
        <f t="shared" si="0"/>
        <v>0</v>
      </c>
      <c r="L57" s="67">
        <f t="shared" si="1"/>
        <v>68140</v>
      </c>
    </row>
    <row r="58" spans="1:12" hidden="1" outlineLevel="1" x14ac:dyDescent="0.35">
      <c r="A58" s="37" t="s">
        <v>95</v>
      </c>
      <c r="B58" s="62" t="s">
        <v>96</v>
      </c>
      <c r="C58" s="54" t="s">
        <v>890</v>
      </c>
      <c r="D58" s="84">
        <f>('R2023'!D58+'R2022'!D58+'R2021'!D58)/3</f>
        <v>0</v>
      </c>
      <c r="E58" s="84">
        <f>('R2023'!E58+'R2022'!E58+'R2021'!E58)/3</f>
        <v>0</v>
      </c>
      <c r="F58" s="84">
        <f>('R2023'!F58+'R2022'!F58+'R2021'!F58)/3</f>
        <v>0</v>
      </c>
      <c r="G58" s="84">
        <f>('R2023'!G58+'R2022'!G58+'R2021'!G58)/3</f>
        <v>0</v>
      </c>
      <c r="H58" s="84">
        <f>('R2023'!H58+'R2022'!H58+'R2021'!H58)/3</f>
        <v>0</v>
      </c>
      <c r="I58" s="84">
        <f>('R2023'!I58+'R2022'!I58+'R2021'!I58)/3</f>
        <v>0</v>
      </c>
      <c r="J58" s="71"/>
      <c r="K58" s="84">
        <f t="shared" si="0"/>
        <v>0</v>
      </c>
      <c r="L58" s="67">
        <f t="shared" si="1"/>
        <v>0</v>
      </c>
    </row>
    <row r="59" spans="1:12" collapsed="1" x14ac:dyDescent="0.35">
      <c r="A59" s="37"/>
      <c r="B59" s="62" t="s">
        <v>98</v>
      </c>
      <c r="C59" s="65"/>
      <c r="D59" s="84">
        <f>('R2023'!D59+'R2022'!D59+'R2021'!D59)/3</f>
        <v>0</v>
      </c>
      <c r="E59" s="84">
        <f>('R2023'!E59+'R2022'!E59+'R2021'!E59)/3</f>
        <v>19030</v>
      </c>
      <c r="F59" s="84">
        <f>('R2023'!F59+'R2022'!F59+'R2021'!F59)/3</f>
        <v>87013.333333333328</v>
      </c>
      <c r="G59" s="84">
        <f>('R2023'!G59+'R2022'!G59+'R2021'!G59)/3</f>
        <v>17155</v>
      </c>
      <c r="H59" s="84">
        <f>('R2023'!H59+'R2022'!H59+'R2021'!H59)/3</f>
        <v>19911.666666666668</v>
      </c>
      <c r="I59" s="84">
        <f>('R2023'!I59+'R2022'!I59+'R2021'!I59)/3</f>
        <v>384653</v>
      </c>
      <c r="J59" s="71"/>
      <c r="K59" s="84">
        <f t="shared" si="0"/>
        <v>384653</v>
      </c>
      <c r="L59" s="67">
        <f t="shared" si="1"/>
        <v>527763</v>
      </c>
    </row>
    <row r="60" spans="1:12" hidden="1" outlineLevel="1" x14ac:dyDescent="0.35">
      <c r="A60" s="37" t="s">
        <v>97</v>
      </c>
      <c r="B60" s="62" t="s">
        <v>98</v>
      </c>
      <c r="C60" s="54" t="s">
        <v>98</v>
      </c>
      <c r="D60" s="84">
        <f>('R2023'!D60+'R2022'!D60+'R2021'!D60)/3</f>
        <v>0</v>
      </c>
      <c r="E60" s="84">
        <f>('R2023'!E60+'R2022'!E60+'R2021'!E60)/3</f>
        <v>19030</v>
      </c>
      <c r="F60" s="84">
        <f>('R2023'!F60+'R2022'!F60+'R2021'!F60)/3</f>
        <v>86946.666666666672</v>
      </c>
      <c r="G60" s="84">
        <f>('R2023'!G60+'R2022'!G60+'R2021'!G60)/3</f>
        <v>26021.666666666668</v>
      </c>
      <c r="H60" s="84">
        <f>('R2023'!H60+'R2022'!H60+'R2021'!H60)/3</f>
        <v>19911.666666666668</v>
      </c>
      <c r="I60" s="84">
        <f>('R2023'!I60+'R2022'!I60+'R2021'!I60)/3</f>
        <v>-200</v>
      </c>
      <c r="J60" s="71"/>
      <c r="K60" s="84">
        <f t="shared" si="0"/>
        <v>-200</v>
      </c>
      <c r="L60" s="67">
        <f t="shared" si="1"/>
        <v>151710</v>
      </c>
    </row>
    <row r="61" spans="1:12" hidden="1" outlineLevel="1" x14ac:dyDescent="0.35">
      <c r="A61" s="37" t="s">
        <v>105</v>
      </c>
      <c r="B61" s="62" t="s">
        <v>106</v>
      </c>
      <c r="C61" s="54" t="s">
        <v>98</v>
      </c>
      <c r="D61" s="84">
        <f>('R2023'!D61+'R2022'!D61+'R2021'!D61)/3</f>
        <v>0</v>
      </c>
      <c r="E61" s="84">
        <f>('R2023'!E61+'R2022'!E61+'R2021'!E61)/3</f>
        <v>0</v>
      </c>
      <c r="F61" s="84">
        <f>('R2023'!F61+'R2022'!F61+'R2021'!F61)/3</f>
        <v>0</v>
      </c>
      <c r="G61" s="84">
        <f>('R2023'!G61+'R2022'!G61+'R2021'!G61)/3</f>
        <v>0</v>
      </c>
      <c r="H61" s="84">
        <f>('R2023'!H61+'R2022'!H61+'R2021'!H61)/3</f>
        <v>0</v>
      </c>
      <c r="I61" s="84">
        <f>('R2023'!I61+'R2022'!I61+'R2021'!I61)/3</f>
        <v>0</v>
      </c>
      <c r="J61" s="71"/>
      <c r="K61" s="84">
        <f t="shared" si="0"/>
        <v>0</v>
      </c>
      <c r="L61" s="67">
        <f t="shared" si="1"/>
        <v>0</v>
      </c>
    </row>
    <row r="62" spans="1:12" hidden="1" outlineLevel="1" x14ac:dyDescent="0.35">
      <c r="A62" s="37" t="s">
        <v>112</v>
      </c>
      <c r="B62" s="62" t="s">
        <v>113</v>
      </c>
      <c r="C62" s="54" t="s">
        <v>98</v>
      </c>
      <c r="D62" s="84">
        <f>('R2023'!D62+'R2022'!D62+'R2021'!D62)/3</f>
        <v>0</v>
      </c>
      <c r="E62" s="84">
        <f>('R2023'!E62+'R2022'!E62+'R2021'!E62)/3</f>
        <v>0</v>
      </c>
      <c r="F62" s="84">
        <f>('R2023'!F62+'R2022'!F62+'R2021'!F62)/3</f>
        <v>66.666666666666671</v>
      </c>
      <c r="G62" s="84">
        <f>('R2023'!G62+'R2022'!G62+'R2021'!G62)/3</f>
        <v>0</v>
      </c>
      <c r="H62" s="84">
        <f>('R2023'!H62+'R2022'!H62+'R2021'!H62)/3</f>
        <v>0</v>
      </c>
      <c r="I62" s="84">
        <f>('R2023'!I62+'R2022'!I62+'R2021'!I62)/3</f>
        <v>384853</v>
      </c>
      <c r="J62" s="71"/>
      <c r="K62" s="84">
        <f t="shared" si="0"/>
        <v>384853</v>
      </c>
      <c r="L62" s="67">
        <f t="shared" si="1"/>
        <v>384919.66666666669</v>
      </c>
    </row>
    <row r="63" spans="1:12" hidden="1" outlineLevel="1" x14ac:dyDescent="0.35">
      <c r="A63" s="37" t="s">
        <v>147</v>
      </c>
      <c r="B63" s="62" t="s">
        <v>148</v>
      </c>
      <c r="C63" s="54" t="s">
        <v>98</v>
      </c>
      <c r="D63" s="84">
        <f>('R2023'!D63+'R2022'!D63+'R2021'!D63)/3</f>
        <v>0</v>
      </c>
      <c r="E63" s="84">
        <f>('R2023'!E63+'R2022'!E63+'R2021'!E63)/3</f>
        <v>0</v>
      </c>
      <c r="F63" s="84">
        <f>('R2023'!F63+'R2022'!F63+'R2021'!F63)/3</f>
        <v>0</v>
      </c>
      <c r="G63" s="84">
        <f>('R2023'!G63+'R2022'!G63+'R2021'!G63)/3</f>
        <v>-8866.6666666666661</v>
      </c>
      <c r="H63" s="84">
        <f>('R2023'!H63+'R2022'!H63+'R2021'!H63)/3</f>
        <v>0</v>
      </c>
      <c r="I63" s="84">
        <f>('R2023'!I63+'R2022'!I63+'R2021'!I63)/3</f>
        <v>0</v>
      </c>
      <c r="J63" s="71"/>
      <c r="K63" s="84">
        <f t="shared" si="0"/>
        <v>0</v>
      </c>
      <c r="L63" s="67">
        <f t="shared" si="1"/>
        <v>-8866.6666666666661</v>
      </c>
    </row>
    <row r="64" spans="1:12" hidden="1" outlineLevel="1" x14ac:dyDescent="0.35">
      <c r="A64" s="37" t="s">
        <v>149</v>
      </c>
      <c r="B64" s="62" t="s">
        <v>150</v>
      </c>
      <c r="C64" s="54" t="s">
        <v>98</v>
      </c>
      <c r="D64" s="84">
        <f>('R2023'!D64+'R2022'!D64+'R2021'!D64)/3</f>
        <v>0</v>
      </c>
      <c r="E64" s="84">
        <f>('R2023'!E64+'R2022'!E64+'R2021'!E64)/3</f>
        <v>0</v>
      </c>
      <c r="F64" s="84">
        <f>('R2023'!F64+'R2022'!F64+'R2021'!F64)/3</f>
        <v>0</v>
      </c>
      <c r="G64" s="84">
        <f>('R2023'!G64+'R2022'!G64+'R2021'!G64)/3</f>
        <v>0</v>
      </c>
      <c r="H64" s="84">
        <f>('R2023'!H64+'R2022'!H64+'R2021'!H64)/3</f>
        <v>0</v>
      </c>
      <c r="I64" s="84">
        <f>('R2023'!I64+'R2022'!I64+'R2021'!I64)/3</f>
        <v>0</v>
      </c>
      <c r="J64" s="71"/>
      <c r="K64" s="84">
        <f t="shared" si="0"/>
        <v>0</v>
      </c>
      <c r="L64" s="67">
        <f t="shared" si="1"/>
        <v>0</v>
      </c>
    </row>
    <row r="65" spans="1:12" collapsed="1" x14ac:dyDescent="0.35">
      <c r="A65" s="37"/>
      <c r="B65" s="62" t="s">
        <v>889</v>
      </c>
      <c r="C65" s="54"/>
      <c r="D65" s="84">
        <f>('R2023'!D65+'R2022'!D65+'R2021'!D65)/3</f>
        <v>0</v>
      </c>
      <c r="E65" s="84">
        <f>('R2023'!E65+'R2022'!E65+'R2021'!E65)/3</f>
        <v>2000</v>
      </c>
      <c r="F65" s="84">
        <f>('R2023'!F65+'R2022'!F65+'R2021'!F65)/3</f>
        <v>9837.6666666666661</v>
      </c>
      <c r="G65" s="84">
        <f>('R2023'!G65+'R2022'!G65+'R2021'!G65)/3</f>
        <v>624750.66666666663</v>
      </c>
      <c r="H65" s="84">
        <f>('R2023'!H65+'R2022'!H65+'R2021'!H65)/3</f>
        <v>12232</v>
      </c>
      <c r="I65" s="84">
        <f>('R2023'!I65+'R2022'!I65+'R2021'!I65)/3</f>
        <v>4100</v>
      </c>
      <c r="J65" s="71"/>
      <c r="K65" s="84">
        <f t="shared" si="0"/>
        <v>4100</v>
      </c>
      <c r="L65" s="67">
        <f t="shared" si="1"/>
        <v>652920.33333333326</v>
      </c>
    </row>
    <row r="66" spans="1:12" hidden="1" outlineLevel="1" x14ac:dyDescent="0.35">
      <c r="A66" s="37" t="s">
        <v>99</v>
      </c>
      <c r="B66" s="62" t="s">
        <v>100</v>
      </c>
      <c r="C66" s="54" t="s">
        <v>889</v>
      </c>
      <c r="D66" s="84">
        <f>('R2023'!D66+'R2022'!D66+'R2021'!D66)/3</f>
        <v>0</v>
      </c>
      <c r="E66" s="84">
        <f>('R2023'!E66+'R2022'!E66+'R2021'!E66)/3</f>
        <v>0</v>
      </c>
      <c r="F66" s="84">
        <f>('R2023'!F66+'R2022'!F66+'R2021'!F66)/3</f>
        <v>0</v>
      </c>
      <c r="G66" s="84">
        <f>('R2023'!G66+'R2022'!G66+'R2021'!G66)/3</f>
        <v>1075333.3333333333</v>
      </c>
      <c r="H66" s="84">
        <f>('R2023'!H66+'R2022'!H66+'R2021'!H66)/3</f>
        <v>0</v>
      </c>
      <c r="I66" s="84">
        <f>('R2023'!I66+'R2022'!I66+'R2021'!I66)/3</f>
        <v>0</v>
      </c>
      <c r="J66" s="71"/>
      <c r="K66" s="84">
        <f t="shared" si="0"/>
        <v>0</v>
      </c>
      <c r="L66" s="67">
        <f t="shared" si="1"/>
        <v>1075333.3333333333</v>
      </c>
    </row>
    <row r="67" spans="1:12" hidden="1" outlineLevel="1" x14ac:dyDescent="0.35">
      <c r="A67" s="37" t="s">
        <v>101</v>
      </c>
      <c r="B67" s="71" t="s">
        <v>102</v>
      </c>
      <c r="C67" s="54" t="s">
        <v>889</v>
      </c>
      <c r="D67" s="84">
        <f>('R2023'!D67+'R2022'!D67+'R2021'!D67)/3</f>
        <v>0</v>
      </c>
      <c r="E67" s="84">
        <f>('R2023'!E67+'R2022'!E67+'R2021'!E67)/3</f>
        <v>0</v>
      </c>
      <c r="F67" s="84">
        <f>('R2023'!F67+'R2022'!F67+'R2021'!F67)/3</f>
        <v>0</v>
      </c>
      <c r="G67" s="84">
        <f>('R2023'!G67+'R2022'!G67+'R2021'!G67)/3</f>
        <v>2943</v>
      </c>
      <c r="H67" s="84">
        <f>('R2023'!H67+'R2022'!H67+'R2021'!H67)/3</f>
        <v>0</v>
      </c>
      <c r="I67" s="84">
        <f>('R2023'!I67+'R2022'!I67+'R2021'!I67)/3</f>
        <v>0</v>
      </c>
      <c r="J67" s="71"/>
      <c r="K67" s="84">
        <f t="shared" si="0"/>
        <v>0</v>
      </c>
      <c r="L67" s="67">
        <f t="shared" si="1"/>
        <v>2943</v>
      </c>
    </row>
    <row r="68" spans="1:12" hidden="1" outlineLevel="1" x14ac:dyDescent="0.35">
      <c r="A68" s="37" t="s">
        <v>103</v>
      </c>
      <c r="B68" s="62" t="s">
        <v>104</v>
      </c>
      <c r="C68" s="54" t="s">
        <v>889</v>
      </c>
      <c r="D68" s="84">
        <f>('R2023'!D68+'R2022'!D68+'R2021'!D68)/3</f>
        <v>0</v>
      </c>
      <c r="E68" s="84">
        <f>('R2023'!E68+'R2022'!E68+'R2021'!E68)/3</f>
        <v>0</v>
      </c>
      <c r="F68" s="84">
        <f>('R2023'!F68+'R2022'!F68+'R2021'!F68)/3</f>
        <v>0</v>
      </c>
      <c r="G68" s="84">
        <f>('R2023'!G68+'R2022'!G68+'R2021'!G68)/3</f>
        <v>0</v>
      </c>
      <c r="H68" s="84">
        <f>('R2023'!H68+'R2022'!H68+'R2021'!H68)/3</f>
        <v>0</v>
      </c>
      <c r="I68" s="84">
        <f>('R2023'!I68+'R2022'!I68+'R2021'!I68)/3</f>
        <v>0</v>
      </c>
      <c r="J68" s="71"/>
      <c r="K68" s="84">
        <f t="shared" si="0"/>
        <v>0</v>
      </c>
      <c r="L68" s="67">
        <f t="shared" si="1"/>
        <v>0</v>
      </c>
    </row>
    <row r="69" spans="1:12" hidden="1" outlineLevel="1" x14ac:dyDescent="0.35">
      <c r="A69" s="37" t="s">
        <v>107</v>
      </c>
      <c r="B69" s="62" t="s">
        <v>108</v>
      </c>
      <c r="C69" s="54" t="s">
        <v>889</v>
      </c>
      <c r="D69" s="84">
        <f>('R2023'!D69+'R2022'!D69+'R2021'!D69)/3</f>
        <v>0</v>
      </c>
      <c r="E69" s="84">
        <f>('R2023'!E69+'R2022'!E69+'R2021'!E69)/3</f>
        <v>0</v>
      </c>
      <c r="F69" s="84">
        <f>('R2023'!F69+'R2022'!F69+'R2021'!F69)/3</f>
        <v>0</v>
      </c>
      <c r="G69" s="84">
        <f>('R2023'!G69+'R2022'!G69+'R2021'!G69)/3</f>
        <v>-1075333.3333333333</v>
      </c>
      <c r="H69" s="84">
        <f>('R2023'!H69+'R2022'!H69+'R2021'!H69)/3</f>
        <v>0</v>
      </c>
      <c r="I69" s="84">
        <f>('R2023'!I69+'R2022'!I69+'R2021'!I69)/3</f>
        <v>0</v>
      </c>
      <c r="J69" s="71"/>
      <c r="K69" s="84">
        <f t="shared" si="0"/>
        <v>0</v>
      </c>
      <c r="L69" s="67">
        <f t="shared" si="1"/>
        <v>-1075333.3333333333</v>
      </c>
    </row>
    <row r="70" spans="1:12" hidden="1" outlineLevel="1" x14ac:dyDescent="0.35">
      <c r="A70" s="37" t="s">
        <v>109</v>
      </c>
      <c r="B70" s="62" t="s">
        <v>110</v>
      </c>
      <c r="C70" s="54" t="s">
        <v>889</v>
      </c>
      <c r="D70" s="84">
        <f>('R2023'!D70+'R2022'!D70+'R2021'!D70)/3</f>
        <v>0</v>
      </c>
      <c r="E70" s="84">
        <f>('R2023'!E70+'R2022'!E70+'R2021'!E70)/3</f>
        <v>0</v>
      </c>
      <c r="F70" s="84">
        <f>('R2023'!F70+'R2022'!F70+'R2021'!F70)/3</f>
        <v>0</v>
      </c>
      <c r="G70" s="84">
        <f>('R2023'!G70+'R2022'!G70+'R2021'!G70)/3</f>
        <v>0</v>
      </c>
      <c r="H70" s="84">
        <f>('R2023'!H70+'R2022'!H70+'R2021'!H70)/3</f>
        <v>0</v>
      </c>
      <c r="I70" s="84">
        <f>('R2023'!I70+'R2022'!I70+'R2021'!I70)/3</f>
        <v>0</v>
      </c>
      <c r="J70" s="71"/>
      <c r="K70" s="84">
        <f t="shared" ref="K70:K133" si="3">J70+I70</f>
        <v>0</v>
      </c>
      <c r="L70" s="67">
        <f t="shared" ref="L70:L133" si="4">K70+D70+E70+F70+G70+H70</f>
        <v>0</v>
      </c>
    </row>
    <row r="71" spans="1:12" hidden="1" outlineLevel="1" x14ac:dyDescent="0.35">
      <c r="A71" s="37" t="s">
        <v>111</v>
      </c>
      <c r="B71" s="62" t="s">
        <v>110</v>
      </c>
      <c r="C71" s="54" t="s">
        <v>889</v>
      </c>
      <c r="D71" s="84">
        <f>('R2023'!D71+'R2022'!D71+'R2021'!D71)/3</f>
        <v>0</v>
      </c>
      <c r="E71" s="84">
        <f>('R2023'!E71+'R2022'!E71+'R2021'!E71)/3</f>
        <v>0</v>
      </c>
      <c r="F71" s="84">
        <f>('R2023'!F71+'R2022'!F71+'R2021'!F71)/3</f>
        <v>0</v>
      </c>
      <c r="G71" s="84">
        <f>('R2023'!G71+'R2022'!G71+'R2021'!G71)/3</f>
        <v>0</v>
      </c>
      <c r="H71" s="84">
        <f>('R2023'!H71+'R2022'!H71+'R2021'!H71)/3</f>
        <v>0</v>
      </c>
      <c r="I71" s="84">
        <f>('R2023'!I71+'R2022'!I71+'R2021'!I71)/3</f>
        <v>0</v>
      </c>
      <c r="J71" s="71"/>
      <c r="K71" s="84">
        <f t="shared" si="3"/>
        <v>0</v>
      </c>
      <c r="L71" s="67">
        <f t="shared" si="4"/>
        <v>0</v>
      </c>
    </row>
    <row r="72" spans="1:12" hidden="1" outlineLevel="1" x14ac:dyDescent="0.35">
      <c r="A72" s="37" t="s">
        <v>114</v>
      </c>
      <c r="B72" s="62" t="s">
        <v>115</v>
      </c>
      <c r="C72" s="54" t="s">
        <v>889</v>
      </c>
      <c r="D72" s="84">
        <f>('R2023'!D72+'R2022'!D72+'R2021'!D72)/3</f>
        <v>0</v>
      </c>
      <c r="E72" s="84">
        <f>('R2023'!E72+'R2022'!E72+'R2021'!E72)/3</f>
        <v>0</v>
      </c>
      <c r="F72" s="84">
        <f>('R2023'!F72+'R2022'!F72+'R2021'!F72)/3</f>
        <v>0</v>
      </c>
      <c r="G72" s="84">
        <f>('R2023'!G72+'R2022'!G72+'R2021'!G72)/3</f>
        <v>0</v>
      </c>
      <c r="H72" s="84">
        <f>('R2023'!H72+'R2022'!H72+'R2021'!H72)/3</f>
        <v>0</v>
      </c>
      <c r="I72" s="84">
        <f>('R2023'!I72+'R2022'!I72+'R2021'!I72)/3</f>
        <v>0</v>
      </c>
      <c r="J72" s="71"/>
      <c r="K72" s="84">
        <f t="shared" si="3"/>
        <v>0</v>
      </c>
      <c r="L72" s="67">
        <f t="shared" si="4"/>
        <v>0</v>
      </c>
    </row>
    <row r="73" spans="1:12" hidden="1" outlineLevel="1" x14ac:dyDescent="0.35">
      <c r="A73" s="37" t="s">
        <v>116</v>
      </c>
      <c r="B73" s="62" t="s">
        <v>117</v>
      </c>
      <c r="C73" s="54" t="s">
        <v>889</v>
      </c>
      <c r="D73" s="84">
        <f>('R2023'!D73+'R2022'!D73+'R2021'!D73)/3</f>
        <v>0</v>
      </c>
      <c r="E73" s="84">
        <f>('R2023'!E73+'R2022'!E73+'R2021'!E73)/3</f>
        <v>0</v>
      </c>
      <c r="F73" s="84">
        <f>('R2023'!F73+'R2022'!F73+'R2021'!F73)/3</f>
        <v>0</v>
      </c>
      <c r="G73" s="84">
        <f>('R2023'!G73+'R2022'!G73+'R2021'!G73)/3</f>
        <v>0</v>
      </c>
      <c r="H73" s="84">
        <f>('R2023'!H73+'R2022'!H73+'R2021'!H73)/3</f>
        <v>0</v>
      </c>
      <c r="I73" s="84">
        <f>('R2023'!I73+'R2022'!I73+'R2021'!I73)/3</f>
        <v>0</v>
      </c>
      <c r="J73" s="71"/>
      <c r="K73" s="84">
        <f t="shared" si="3"/>
        <v>0</v>
      </c>
      <c r="L73" s="67">
        <f t="shared" si="4"/>
        <v>0</v>
      </c>
    </row>
    <row r="74" spans="1:12" hidden="1" outlineLevel="1" x14ac:dyDescent="0.35">
      <c r="A74" s="37" t="s">
        <v>118</v>
      </c>
      <c r="B74" s="62" t="s">
        <v>119</v>
      </c>
      <c r="C74" s="54" t="s">
        <v>889</v>
      </c>
      <c r="D74" s="84">
        <f>('R2023'!D74+'R2022'!D74+'R2021'!D74)/3</f>
        <v>0</v>
      </c>
      <c r="E74" s="84">
        <f>('R2023'!E74+'R2022'!E74+'R2021'!E74)/3</f>
        <v>0</v>
      </c>
      <c r="F74" s="84">
        <f>('R2023'!F74+'R2022'!F74+'R2021'!F74)/3</f>
        <v>0</v>
      </c>
      <c r="G74" s="84">
        <f>('R2023'!G74+'R2022'!G74+'R2021'!G74)/3</f>
        <v>0</v>
      </c>
      <c r="H74" s="84">
        <f>('R2023'!H74+'R2022'!H74+'R2021'!H74)/3</f>
        <v>0</v>
      </c>
      <c r="I74" s="84">
        <f>('R2023'!I74+'R2022'!I74+'R2021'!I74)/3</f>
        <v>0</v>
      </c>
      <c r="J74" s="71"/>
      <c r="K74" s="84">
        <f t="shared" si="3"/>
        <v>0</v>
      </c>
      <c r="L74" s="67">
        <f t="shared" si="4"/>
        <v>0</v>
      </c>
    </row>
    <row r="75" spans="1:12" hidden="1" outlineLevel="1" x14ac:dyDescent="0.35">
      <c r="A75" s="37" t="s">
        <v>120</v>
      </c>
      <c r="B75" s="62" t="s">
        <v>121</v>
      </c>
      <c r="C75" s="54" t="s">
        <v>889</v>
      </c>
      <c r="D75" s="84">
        <f>('R2023'!D75+'R2022'!D75+'R2021'!D75)/3</f>
        <v>0</v>
      </c>
      <c r="E75" s="84">
        <f>('R2023'!E75+'R2022'!E75+'R2021'!E75)/3</f>
        <v>0</v>
      </c>
      <c r="F75" s="84">
        <f>('R2023'!F75+'R2022'!F75+'R2021'!F75)/3</f>
        <v>0</v>
      </c>
      <c r="G75" s="84">
        <f>('R2023'!G75+'R2022'!G75+'R2021'!G75)/3</f>
        <v>0</v>
      </c>
      <c r="H75" s="84">
        <f>('R2023'!H75+'R2022'!H75+'R2021'!H75)/3</f>
        <v>0</v>
      </c>
      <c r="I75" s="84">
        <f>('R2023'!I75+'R2022'!I75+'R2021'!I75)/3</f>
        <v>0</v>
      </c>
      <c r="J75" s="71"/>
      <c r="K75" s="84">
        <f t="shared" si="3"/>
        <v>0</v>
      </c>
      <c r="L75" s="67">
        <f t="shared" si="4"/>
        <v>0</v>
      </c>
    </row>
    <row r="76" spans="1:12" hidden="1" outlineLevel="1" x14ac:dyDescent="0.35">
      <c r="A76" s="37" t="s">
        <v>122</v>
      </c>
      <c r="B76" s="62" t="s">
        <v>123</v>
      </c>
      <c r="C76" s="54" t="s">
        <v>889</v>
      </c>
      <c r="D76" s="84">
        <f>('R2023'!D76+'R2022'!D76+'R2021'!D76)/3</f>
        <v>0</v>
      </c>
      <c r="E76" s="84">
        <f>('R2023'!E76+'R2022'!E76+'R2021'!E76)/3</f>
        <v>0</v>
      </c>
      <c r="F76" s="84">
        <f>('R2023'!F76+'R2022'!F76+'R2021'!F76)/3</f>
        <v>0</v>
      </c>
      <c r="G76" s="84">
        <f>('R2023'!G76+'R2022'!G76+'R2021'!G76)/3</f>
        <v>0</v>
      </c>
      <c r="H76" s="84">
        <f>('R2023'!H76+'R2022'!H76+'R2021'!H76)/3</f>
        <v>0</v>
      </c>
      <c r="I76" s="84">
        <f>('R2023'!I76+'R2022'!I76+'R2021'!I76)/3</f>
        <v>0</v>
      </c>
      <c r="J76" s="71"/>
      <c r="K76" s="84">
        <f t="shared" si="3"/>
        <v>0</v>
      </c>
      <c r="L76" s="67">
        <f t="shared" si="4"/>
        <v>0</v>
      </c>
    </row>
    <row r="77" spans="1:12" hidden="1" outlineLevel="1" x14ac:dyDescent="0.35">
      <c r="A77" s="37" t="s">
        <v>124</v>
      </c>
      <c r="B77" s="62" t="s">
        <v>125</v>
      </c>
      <c r="C77" s="54" t="s">
        <v>889</v>
      </c>
      <c r="D77" s="84">
        <f>('R2023'!D77+'R2022'!D77+'R2021'!D77)/3</f>
        <v>0</v>
      </c>
      <c r="E77" s="84">
        <f>('R2023'!E77+'R2022'!E77+'R2021'!E77)/3</f>
        <v>0</v>
      </c>
      <c r="F77" s="84">
        <f>('R2023'!F77+'R2022'!F77+'R2021'!F77)/3</f>
        <v>0</v>
      </c>
      <c r="G77" s="84">
        <f>('R2023'!G77+'R2022'!G77+'R2021'!G77)/3</f>
        <v>0</v>
      </c>
      <c r="H77" s="84">
        <f>('R2023'!H77+'R2022'!H77+'R2021'!H77)/3</f>
        <v>0</v>
      </c>
      <c r="I77" s="84">
        <f>('R2023'!I77+'R2022'!I77+'R2021'!I77)/3</f>
        <v>0</v>
      </c>
      <c r="J77" s="71"/>
      <c r="K77" s="84">
        <f t="shared" si="3"/>
        <v>0</v>
      </c>
      <c r="L77" s="67">
        <f t="shared" si="4"/>
        <v>0</v>
      </c>
    </row>
    <row r="78" spans="1:12" hidden="1" outlineLevel="1" x14ac:dyDescent="0.35">
      <c r="A78" s="37" t="s">
        <v>126</v>
      </c>
      <c r="B78" s="62" t="s">
        <v>127</v>
      </c>
      <c r="C78" s="54" t="s">
        <v>889</v>
      </c>
      <c r="D78" s="84">
        <f>('R2023'!D78+'R2022'!D78+'R2021'!D78)/3</f>
        <v>0</v>
      </c>
      <c r="E78" s="84">
        <f>('R2023'!E78+'R2022'!E78+'R2021'!E78)/3</f>
        <v>0</v>
      </c>
      <c r="F78" s="84">
        <f>('R2023'!F78+'R2022'!F78+'R2021'!F78)/3</f>
        <v>0</v>
      </c>
      <c r="G78" s="84">
        <f>('R2023'!G78+'R2022'!G78+'R2021'!G78)/3</f>
        <v>0</v>
      </c>
      <c r="H78" s="84">
        <f>('R2023'!H78+'R2022'!H78+'R2021'!H78)/3</f>
        <v>0</v>
      </c>
      <c r="I78" s="84">
        <f>('R2023'!I78+'R2022'!I78+'R2021'!I78)/3</f>
        <v>0</v>
      </c>
      <c r="J78" s="71"/>
      <c r="K78" s="84">
        <f t="shared" si="3"/>
        <v>0</v>
      </c>
      <c r="L78" s="67">
        <f t="shared" si="4"/>
        <v>0</v>
      </c>
    </row>
    <row r="79" spans="1:12" hidden="1" outlineLevel="1" x14ac:dyDescent="0.35">
      <c r="A79" s="37" t="s">
        <v>128</v>
      </c>
      <c r="B79" s="62" t="s">
        <v>129</v>
      </c>
      <c r="C79" s="54" t="s">
        <v>889</v>
      </c>
      <c r="D79" s="84">
        <f>('R2023'!D79+'R2022'!D79+'R2021'!D79)/3</f>
        <v>0</v>
      </c>
      <c r="E79" s="84">
        <f>('R2023'!E79+'R2022'!E79+'R2021'!E79)/3</f>
        <v>0</v>
      </c>
      <c r="F79" s="84">
        <f>('R2023'!F79+'R2022'!F79+'R2021'!F79)/3</f>
        <v>0</v>
      </c>
      <c r="G79" s="84">
        <f>('R2023'!G79+'R2022'!G79+'R2021'!G79)/3</f>
        <v>0</v>
      </c>
      <c r="H79" s="84">
        <f>('R2023'!H79+'R2022'!H79+'R2021'!H79)/3</f>
        <v>0</v>
      </c>
      <c r="I79" s="84">
        <f>('R2023'!I79+'R2022'!I79+'R2021'!I79)/3</f>
        <v>0</v>
      </c>
      <c r="J79" s="71"/>
      <c r="K79" s="84">
        <f t="shared" si="3"/>
        <v>0</v>
      </c>
      <c r="L79" s="67">
        <f t="shared" si="4"/>
        <v>0</v>
      </c>
    </row>
    <row r="80" spans="1:12" hidden="1" outlineLevel="1" x14ac:dyDescent="0.35">
      <c r="A80" s="37" t="s">
        <v>130</v>
      </c>
      <c r="B80" s="62" t="s">
        <v>131</v>
      </c>
      <c r="C80" s="54" t="s">
        <v>889</v>
      </c>
      <c r="D80" s="84">
        <f>('R2023'!D80+'R2022'!D80+'R2021'!D80)/3</f>
        <v>0</v>
      </c>
      <c r="E80" s="84">
        <f>('R2023'!E80+'R2022'!E80+'R2021'!E80)/3</f>
        <v>0</v>
      </c>
      <c r="F80" s="84">
        <f>('R2023'!F80+'R2022'!F80+'R2021'!F80)/3</f>
        <v>0</v>
      </c>
      <c r="G80" s="84">
        <f>('R2023'!G80+'R2022'!G80+'R2021'!G80)/3</f>
        <v>0</v>
      </c>
      <c r="H80" s="84">
        <f>('R2023'!H80+'R2022'!H80+'R2021'!H80)/3</f>
        <v>0</v>
      </c>
      <c r="I80" s="84">
        <f>('R2023'!I80+'R2022'!I80+'R2021'!I80)/3</f>
        <v>0</v>
      </c>
      <c r="J80" s="71"/>
      <c r="K80" s="84">
        <f t="shared" si="3"/>
        <v>0</v>
      </c>
      <c r="L80" s="67">
        <f t="shared" si="4"/>
        <v>0</v>
      </c>
    </row>
    <row r="81" spans="1:12" hidden="1" outlineLevel="1" x14ac:dyDescent="0.35">
      <c r="A81" s="37" t="s">
        <v>132</v>
      </c>
      <c r="B81" s="62" t="s">
        <v>133</v>
      </c>
      <c r="C81" s="54" t="s">
        <v>889</v>
      </c>
      <c r="D81" s="84">
        <f>('R2023'!D81+'R2022'!D81+'R2021'!D81)/3</f>
        <v>0</v>
      </c>
      <c r="E81" s="84">
        <f>('R2023'!E81+'R2022'!E81+'R2021'!E81)/3</f>
        <v>0</v>
      </c>
      <c r="F81" s="84">
        <f>('R2023'!F81+'R2022'!F81+'R2021'!F81)/3</f>
        <v>0</v>
      </c>
      <c r="G81" s="84">
        <f>('R2023'!G81+'R2022'!G81+'R2021'!G81)/3</f>
        <v>0</v>
      </c>
      <c r="H81" s="84">
        <f>('R2023'!H81+'R2022'!H81+'R2021'!H81)/3</f>
        <v>0</v>
      </c>
      <c r="I81" s="84">
        <f>('R2023'!I81+'R2022'!I81+'R2021'!I81)/3</f>
        <v>0</v>
      </c>
      <c r="J81" s="71"/>
      <c r="K81" s="84">
        <f t="shared" si="3"/>
        <v>0</v>
      </c>
      <c r="L81" s="67">
        <f t="shared" si="4"/>
        <v>0</v>
      </c>
    </row>
    <row r="82" spans="1:12" hidden="1" outlineLevel="1" x14ac:dyDescent="0.35">
      <c r="A82" s="37" t="s">
        <v>134</v>
      </c>
      <c r="B82" s="62" t="s">
        <v>135</v>
      </c>
      <c r="C82" s="54" t="s">
        <v>889</v>
      </c>
      <c r="D82" s="84">
        <f>('R2023'!D82+'R2022'!D82+'R2021'!D82)/3</f>
        <v>0</v>
      </c>
      <c r="E82" s="84">
        <f>('R2023'!E82+'R2022'!E82+'R2021'!E82)/3</f>
        <v>0</v>
      </c>
      <c r="F82" s="84">
        <f>('R2023'!F82+'R2022'!F82+'R2021'!F82)/3</f>
        <v>0</v>
      </c>
      <c r="G82" s="84">
        <f>('R2023'!G82+'R2022'!G82+'R2021'!G82)/3</f>
        <v>0</v>
      </c>
      <c r="H82" s="84">
        <f>('R2023'!H82+'R2022'!H82+'R2021'!H82)/3</f>
        <v>0</v>
      </c>
      <c r="I82" s="84">
        <f>('R2023'!I82+'R2022'!I82+'R2021'!I82)/3</f>
        <v>0</v>
      </c>
      <c r="J82" s="71"/>
      <c r="K82" s="84">
        <f t="shared" si="3"/>
        <v>0</v>
      </c>
      <c r="L82" s="67">
        <f t="shared" si="4"/>
        <v>0</v>
      </c>
    </row>
    <row r="83" spans="1:12" hidden="1" outlineLevel="1" x14ac:dyDescent="0.35">
      <c r="A83" s="37" t="s">
        <v>136</v>
      </c>
      <c r="B83" s="62" t="s">
        <v>137</v>
      </c>
      <c r="C83" s="54" t="s">
        <v>889</v>
      </c>
      <c r="D83" s="84">
        <f>('R2023'!D83+'R2022'!D83+'R2021'!D83)/3</f>
        <v>0</v>
      </c>
      <c r="E83" s="84">
        <f>('R2023'!E83+'R2022'!E83+'R2021'!E83)/3</f>
        <v>2000</v>
      </c>
      <c r="F83" s="84">
        <f>('R2023'!F83+'R2022'!F83+'R2021'!F83)/3</f>
        <v>3300</v>
      </c>
      <c r="G83" s="84">
        <f>('R2023'!G83+'R2022'!G83+'R2021'!G83)/3</f>
        <v>574000</v>
      </c>
      <c r="H83" s="84">
        <f>('R2023'!H83+'R2022'!H83+'R2021'!H83)/3</f>
        <v>12232</v>
      </c>
      <c r="I83" s="84">
        <f>('R2023'!I83+'R2022'!I83+'R2021'!I83)/3</f>
        <v>0</v>
      </c>
      <c r="J83" s="71"/>
      <c r="K83" s="84">
        <f t="shared" si="3"/>
        <v>0</v>
      </c>
      <c r="L83" s="67">
        <f t="shared" si="4"/>
        <v>591532</v>
      </c>
    </row>
    <row r="84" spans="1:12" hidden="1" outlineLevel="1" x14ac:dyDescent="0.35">
      <c r="A84" s="37" t="s">
        <v>138</v>
      </c>
      <c r="B84" s="62" t="s">
        <v>139</v>
      </c>
      <c r="C84" s="54" t="s">
        <v>889</v>
      </c>
      <c r="D84" s="84">
        <f>('R2023'!D84+'R2022'!D84+'R2021'!D84)/3</f>
        <v>0</v>
      </c>
      <c r="E84" s="84">
        <f>('R2023'!E84+'R2022'!E84+'R2021'!E84)/3</f>
        <v>0</v>
      </c>
      <c r="F84" s="84">
        <f>('R2023'!F84+'R2022'!F84+'R2021'!F84)/3</f>
        <v>0</v>
      </c>
      <c r="G84" s="84">
        <f>('R2023'!G84+'R2022'!G84+'R2021'!G84)/3</f>
        <v>0</v>
      </c>
      <c r="H84" s="84">
        <f>('R2023'!H84+'R2022'!H84+'R2021'!H84)/3</f>
        <v>0</v>
      </c>
      <c r="I84" s="84">
        <f>('R2023'!I84+'R2022'!I84+'R2021'!I84)/3</f>
        <v>4100</v>
      </c>
      <c r="J84" s="71"/>
      <c r="K84" s="84">
        <f t="shared" si="3"/>
        <v>4100</v>
      </c>
      <c r="L84" s="67">
        <f t="shared" si="4"/>
        <v>4100</v>
      </c>
    </row>
    <row r="85" spans="1:12" hidden="1" outlineLevel="1" x14ac:dyDescent="0.35">
      <c r="A85" s="37" t="s">
        <v>140</v>
      </c>
      <c r="B85" s="62" t="s">
        <v>141</v>
      </c>
      <c r="C85" s="54" t="s">
        <v>889</v>
      </c>
      <c r="D85" s="84">
        <f>('R2023'!D85+'R2022'!D85+'R2021'!D85)/3</f>
        <v>0</v>
      </c>
      <c r="E85" s="84">
        <f>('R2023'!E85+'R2022'!E85+'R2021'!E85)/3</f>
        <v>0</v>
      </c>
      <c r="F85" s="84">
        <f>('R2023'!F85+'R2022'!F85+'R2021'!F85)/3</f>
        <v>0</v>
      </c>
      <c r="G85" s="84">
        <f>('R2023'!G85+'R2022'!G85+'R2021'!G85)/3</f>
        <v>0</v>
      </c>
      <c r="H85" s="84">
        <f>('R2023'!H85+'R2022'!H85+'R2021'!H85)/3</f>
        <v>0</v>
      </c>
      <c r="I85" s="84">
        <f>('R2023'!I85+'R2022'!I85+'R2021'!I85)/3</f>
        <v>0</v>
      </c>
      <c r="J85" s="71"/>
      <c r="K85" s="84">
        <f t="shared" si="3"/>
        <v>0</v>
      </c>
      <c r="L85" s="67">
        <f t="shared" si="4"/>
        <v>0</v>
      </c>
    </row>
    <row r="86" spans="1:12" hidden="1" outlineLevel="1" x14ac:dyDescent="0.35">
      <c r="A86" s="37" t="s">
        <v>142</v>
      </c>
      <c r="B86" s="62" t="s">
        <v>143</v>
      </c>
      <c r="C86" s="54" t="s">
        <v>889</v>
      </c>
      <c r="D86" s="84">
        <f>('R2023'!D86+'R2022'!D86+'R2021'!D86)/3</f>
        <v>0</v>
      </c>
      <c r="E86" s="84">
        <f>('R2023'!E86+'R2022'!E86+'R2021'!E86)/3</f>
        <v>0</v>
      </c>
      <c r="F86" s="84">
        <f>('R2023'!F86+'R2022'!F86+'R2021'!F86)/3</f>
        <v>0</v>
      </c>
      <c r="G86" s="84">
        <f>('R2023'!G86+'R2022'!G86+'R2021'!G86)/3</f>
        <v>-8333.3333333333339</v>
      </c>
      <c r="H86" s="84">
        <f>('R2023'!H86+'R2022'!H86+'R2021'!H86)/3</f>
        <v>0</v>
      </c>
      <c r="I86" s="84">
        <f>('R2023'!I86+'R2022'!I86+'R2021'!I86)/3</f>
        <v>0</v>
      </c>
      <c r="J86" s="71"/>
      <c r="K86" s="84">
        <f t="shared" si="3"/>
        <v>0</v>
      </c>
      <c r="L86" s="67">
        <f t="shared" si="4"/>
        <v>-8333.3333333333339</v>
      </c>
    </row>
    <row r="87" spans="1:12" hidden="1" outlineLevel="1" x14ac:dyDescent="0.35">
      <c r="A87" s="37" t="s">
        <v>144</v>
      </c>
      <c r="B87" s="62" t="s">
        <v>143</v>
      </c>
      <c r="C87" s="54" t="s">
        <v>889</v>
      </c>
      <c r="D87" s="84">
        <f>('R2023'!D87+'R2022'!D87+'R2021'!D87)/3</f>
        <v>0</v>
      </c>
      <c r="E87" s="84">
        <f>('R2023'!E87+'R2022'!E87+'R2021'!E87)/3</f>
        <v>0</v>
      </c>
      <c r="F87" s="84">
        <f>('R2023'!F87+'R2022'!F87+'R2021'!F87)/3</f>
        <v>0</v>
      </c>
      <c r="G87" s="84">
        <f>('R2023'!G87+'R2022'!G87+'R2021'!G87)/3</f>
        <v>0</v>
      </c>
      <c r="H87" s="84">
        <f>('R2023'!H87+'R2022'!H87+'R2021'!H87)/3</f>
        <v>0</v>
      </c>
      <c r="I87" s="84">
        <f>('R2023'!I87+'R2022'!I87+'R2021'!I87)/3</f>
        <v>0</v>
      </c>
      <c r="J87" s="71"/>
      <c r="K87" s="84">
        <f t="shared" si="3"/>
        <v>0</v>
      </c>
      <c r="L87" s="67">
        <f t="shared" si="4"/>
        <v>0</v>
      </c>
    </row>
    <row r="88" spans="1:12" hidden="1" outlineLevel="1" x14ac:dyDescent="0.35">
      <c r="A88" s="37" t="s">
        <v>145</v>
      </c>
      <c r="B88" s="62" t="s">
        <v>143</v>
      </c>
      <c r="C88" s="54" t="s">
        <v>889</v>
      </c>
      <c r="D88" s="84">
        <f>('R2023'!D88+'R2022'!D88+'R2021'!D88)/3</f>
        <v>0</v>
      </c>
      <c r="E88" s="84">
        <f>('R2023'!E88+'R2022'!E88+'R2021'!E88)/3</f>
        <v>0</v>
      </c>
      <c r="F88" s="84">
        <f>('R2023'!F88+'R2022'!F88+'R2021'!F88)/3</f>
        <v>0</v>
      </c>
      <c r="G88" s="84">
        <f>('R2023'!G88+'R2022'!G88+'R2021'!G88)/3</f>
        <v>0</v>
      </c>
      <c r="H88" s="84">
        <f>('R2023'!H88+'R2022'!H88+'R2021'!H88)/3</f>
        <v>0</v>
      </c>
      <c r="I88" s="84">
        <f>('R2023'!I88+'R2022'!I88+'R2021'!I88)/3</f>
        <v>0</v>
      </c>
      <c r="J88" s="71"/>
      <c r="K88" s="84">
        <f t="shared" si="3"/>
        <v>0</v>
      </c>
      <c r="L88" s="67">
        <f t="shared" si="4"/>
        <v>0</v>
      </c>
    </row>
    <row r="89" spans="1:12" hidden="1" outlineLevel="1" x14ac:dyDescent="0.35">
      <c r="A89" s="37" t="s">
        <v>146</v>
      </c>
      <c r="B89" s="62" t="s">
        <v>143</v>
      </c>
      <c r="C89" s="54" t="s">
        <v>889</v>
      </c>
      <c r="D89" s="84">
        <f>('R2023'!D89+'R2022'!D89+'R2021'!D89)/3</f>
        <v>0</v>
      </c>
      <c r="E89" s="84">
        <f>('R2023'!E89+'R2022'!E89+'R2021'!E89)/3</f>
        <v>0</v>
      </c>
      <c r="F89" s="84">
        <f>('R2023'!F89+'R2022'!F89+'R2021'!F89)/3</f>
        <v>0</v>
      </c>
      <c r="G89" s="84">
        <f>('R2023'!G89+'R2022'!G89+'R2021'!G89)/3</f>
        <v>0</v>
      </c>
      <c r="H89" s="84">
        <f>('R2023'!H89+'R2022'!H89+'R2021'!H89)/3</f>
        <v>0</v>
      </c>
      <c r="I89" s="84">
        <f>('R2023'!I89+'R2022'!I89+'R2021'!I89)/3</f>
        <v>0</v>
      </c>
      <c r="J89" s="71"/>
      <c r="K89" s="84">
        <f t="shared" si="3"/>
        <v>0</v>
      </c>
      <c r="L89" s="67">
        <f t="shared" si="4"/>
        <v>0</v>
      </c>
    </row>
    <row r="90" spans="1:12" hidden="1" outlineLevel="1" x14ac:dyDescent="0.35">
      <c r="A90" s="37" t="s">
        <v>151</v>
      </c>
      <c r="B90" s="62" t="s">
        <v>152</v>
      </c>
      <c r="C90" s="54" t="s">
        <v>889</v>
      </c>
      <c r="D90" s="84">
        <f>('R2023'!D90+'R2022'!D90+'R2021'!D90)/3</f>
        <v>0</v>
      </c>
      <c r="E90" s="84">
        <f>('R2023'!E90+'R2022'!E90+'R2021'!E90)/3</f>
        <v>0</v>
      </c>
      <c r="F90" s="84">
        <f>('R2023'!F90+'R2022'!F90+'R2021'!F90)/3</f>
        <v>0</v>
      </c>
      <c r="G90" s="84">
        <f>('R2023'!G90+'R2022'!G90+'R2021'!G90)/3</f>
        <v>0</v>
      </c>
      <c r="H90" s="84">
        <f>('R2023'!H90+'R2022'!H90+'R2021'!H90)/3</f>
        <v>0</v>
      </c>
      <c r="I90" s="84">
        <f>('R2023'!I90+'R2022'!I90+'R2021'!I90)/3</f>
        <v>0</v>
      </c>
      <c r="J90" s="71"/>
      <c r="K90" s="84">
        <f t="shared" si="3"/>
        <v>0</v>
      </c>
      <c r="L90" s="67">
        <f t="shared" si="4"/>
        <v>0</v>
      </c>
    </row>
    <row r="91" spans="1:12" hidden="1" outlineLevel="1" x14ac:dyDescent="0.35">
      <c r="A91" s="37" t="s">
        <v>153</v>
      </c>
      <c r="B91" s="62" t="s">
        <v>154</v>
      </c>
      <c r="C91" s="54" t="s">
        <v>889</v>
      </c>
      <c r="D91" s="84">
        <f>('R2023'!D91+'R2022'!D91+'R2021'!D91)/3</f>
        <v>0</v>
      </c>
      <c r="E91" s="84">
        <f>('R2023'!E91+'R2022'!E91+'R2021'!E91)/3</f>
        <v>0</v>
      </c>
      <c r="F91" s="84">
        <f>('R2023'!F91+'R2022'!F91+'R2021'!F91)/3</f>
        <v>0</v>
      </c>
      <c r="G91" s="84">
        <f>('R2023'!G91+'R2022'!G91+'R2021'!G91)/3</f>
        <v>1914</v>
      </c>
      <c r="H91" s="84">
        <f>('R2023'!H91+'R2022'!H91+'R2021'!H91)/3</f>
        <v>0</v>
      </c>
      <c r="I91" s="84">
        <f>('R2023'!I91+'R2022'!I91+'R2021'!I91)/3</f>
        <v>0</v>
      </c>
      <c r="J91" s="71"/>
      <c r="K91" s="84">
        <f t="shared" si="3"/>
        <v>0</v>
      </c>
      <c r="L91" s="67">
        <f t="shared" si="4"/>
        <v>1914</v>
      </c>
    </row>
    <row r="92" spans="1:12" hidden="1" outlineLevel="1" x14ac:dyDescent="0.35">
      <c r="A92" s="37" t="s">
        <v>155</v>
      </c>
      <c r="B92" s="62" t="s">
        <v>156</v>
      </c>
      <c r="C92" s="54" t="s">
        <v>889</v>
      </c>
      <c r="D92" s="84">
        <f>('R2023'!D92+'R2022'!D92+'R2021'!D92)/3</f>
        <v>0</v>
      </c>
      <c r="E92" s="84">
        <f>('R2023'!E92+'R2022'!E92+'R2021'!E92)/3</f>
        <v>0</v>
      </c>
      <c r="F92" s="84">
        <f>('R2023'!F92+'R2022'!F92+'R2021'!F92)/3</f>
        <v>0</v>
      </c>
      <c r="G92" s="84">
        <f>('R2023'!G92+'R2022'!G92+'R2021'!G92)/3</f>
        <v>0</v>
      </c>
      <c r="H92" s="84">
        <f>('R2023'!H92+'R2022'!H92+'R2021'!H92)/3</f>
        <v>0</v>
      </c>
      <c r="I92" s="84">
        <f>('R2023'!I92+'R2022'!I92+'R2021'!I92)/3</f>
        <v>0</v>
      </c>
      <c r="J92" s="71"/>
      <c r="K92" s="84">
        <f t="shared" si="3"/>
        <v>0</v>
      </c>
      <c r="L92" s="67">
        <f t="shared" si="4"/>
        <v>0</v>
      </c>
    </row>
    <row r="93" spans="1:12" hidden="1" outlineLevel="1" x14ac:dyDescent="0.35">
      <c r="A93" s="37" t="s">
        <v>157</v>
      </c>
      <c r="B93" s="62" t="s">
        <v>158</v>
      </c>
      <c r="C93" s="54" t="s">
        <v>889</v>
      </c>
      <c r="D93" s="84">
        <f>('R2023'!D93+'R2022'!D93+'R2021'!D93)/3</f>
        <v>0</v>
      </c>
      <c r="E93" s="84">
        <f>('R2023'!E93+'R2022'!E93+'R2021'!E93)/3</f>
        <v>0</v>
      </c>
      <c r="F93" s="84">
        <f>('R2023'!F93+'R2022'!F93+'R2021'!F93)/3</f>
        <v>6537.666666666667</v>
      </c>
      <c r="G93" s="84">
        <f>('R2023'!G93+'R2022'!G93+'R2021'!G93)/3</f>
        <v>54227</v>
      </c>
      <c r="H93" s="84">
        <f>('R2023'!H93+'R2022'!H93+'R2021'!H93)/3</f>
        <v>0</v>
      </c>
      <c r="I93" s="84">
        <f>('R2023'!I93+'R2022'!I93+'R2021'!I93)/3</f>
        <v>0</v>
      </c>
      <c r="J93" s="71"/>
      <c r="K93" s="84">
        <f t="shared" si="3"/>
        <v>0</v>
      </c>
      <c r="L93" s="67">
        <f t="shared" si="4"/>
        <v>60764.666666666664</v>
      </c>
    </row>
    <row r="94" spans="1:12" hidden="1" outlineLevel="1" x14ac:dyDescent="0.35">
      <c r="A94" s="37" t="s">
        <v>159</v>
      </c>
      <c r="B94" s="62" t="s">
        <v>160</v>
      </c>
      <c r="C94" s="54" t="s">
        <v>889</v>
      </c>
      <c r="D94" s="84">
        <f>('R2023'!D94+'R2022'!D94+'R2021'!D94)/3</f>
        <v>0</v>
      </c>
      <c r="E94" s="84">
        <f>('R2023'!E94+'R2022'!E94+'R2021'!E94)/3</f>
        <v>0</v>
      </c>
      <c r="F94" s="84">
        <f>('R2023'!F94+'R2022'!F94+'R2021'!F94)/3</f>
        <v>0</v>
      </c>
      <c r="G94" s="84">
        <f>('R2023'!G94+'R2022'!G94+'R2021'!G94)/3</f>
        <v>0</v>
      </c>
      <c r="H94" s="84">
        <f>('R2023'!H94+'R2022'!H94+'R2021'!H94)/3</f>
        <v>0</v>
      </c>
      <c r="I94" s="84">
        <f>('R2023'!I94+'R2022'!I94+'R2021'!I94)/3</f>
        <v>0</v>
      </c>
      <c r="J94" s="71"/>
      <c r="K94" s="84">
        <f t="shared" si="3"/>
        <v>0</v>
      </c>
      <c r="L94" s="67">
        <f t="shared" si="4"/>
        <v>0</v>
      </c>
    </row>
    <row r="95" spans="1:12" hidden="1" outlineLevel="1" x14ac:dyDescent="0.35">
      <c r="A95" s="37" t="s">
        <v>161</v>
      </c>
      <c r="B95" s="62" t="s">
        <v>162</v>
      </c>
      <c r="C95" s="54" t="s">
        <v>889</v>
      </c>
      <c r="D95" s="84">
        <f>('R2023'!D95+'R2022'!D95+'R2021'!D95)/3</f>
        <v>0</v>
      </c>
      <c r="E95" s="84">
        <f>('R2023'!E95+'R2022'!E95+'R2021'!E95)/3</f>
        <v>0</v>
      </c>
      <c r="F95" s="84">
        <f>('R2023'!F95+'R2022'!F95+'R2021'!F95)/3</f>
        <v>0</v>
      </c>
      <c r="G95" s="84">
        <f>('R2023'!G95+'R2022'!G95+'R2021'!G95)/3</f>
        <v>0</v>
      </c>
      <c r="H95" s="84">
        <f>('R2023'!H95+'R2022'!H95+'R2021'!H95)/3</f>
        <v>0</v>
      </c>
      <c r="I95" s="84">
        <f>('R2023'!I95+'R2022'!I95+'R2021'!I95)/3</f>
        <v>0</v>
      </c>
      <c r="J95" s="71"/>
      <c r="K95" s="84">
        <f t="shared" si="3"/>
        <v>0</v>
      </c>
      <c r="L95" s="67">
        <f t="shared" si="4"/>
        <v>0</v>
      </c>
    </row>
    <row r="96" spans="1:12" hidden="1" outlineLevel="1" x14ac:dyDescent="0.35">
      <c r="A96" s="37" t="s">
        <v>163</v>
      </c>
      <c r="B96" s="62" t="s">
        <v>164</v>
      </c>
      <c r="C96" s="54" t="s">
        <v>889</v>
      </c>
      <c r="D96" s="84">
        <f>('R2023'!D96+'R2022'!D96+'R2021'!D96)/3</f>
        <v>0</v>
      </c>
      <c r="E96" s="84">
        <f>('R2023'!E96+'R2022'!E96+'R2021'!E96)/3</f>
        <v>0</v>
      </c>
      <c r="F96" s="84">
        <f>('R2023'!F96+'R2022'!F96+'R2021'!F96)/3</f>
        <v>0</v>
      </c>
      <c r="G96" s="84">
        <f>('R2023'!G96+'R2022'!G96+'R2021'!G96)/3</f>
        <v>0</v>
      </c>
      <c r="H96" s="84">
        <f>('R2023'!H96+'R2022'!H96+'R2021'!H96)/3</f>
        <v>0</v>
      </c>
      <c r="I96" s="84">
        <f>('R2023'!I96+'R2022'!I96+'R2021'!I96)/3</f>
        <v>0</v>
      </c>
      <c r="J96" s="71"/>
      <c r="K96" s="84">
        <f t="shared" si="3"/>
        <v>0</v>
      </c>
      <c r="L96" s="67">
        <f t="shared" si="4"/>
        <v>0</v>
      </c>
    </row>
    <row r="97" spans="1:12" collapsed="1" x14ac:dyDescent="0.35">
      <c r="A97" s="37" t="s">
        <v>165</v>
      </c>
      <c r="B97" s="62" t="s">
        <v>166</v>
      </c>
      <c r="C97" s="54" t="s">
        <v>166</v>
      </c>
      <c r="D97" s="84">
        <f>('R2023'!D97+'R2022'!D97+'R2021'!D97)/3</f>
        <v>0</v>
      </c>
      <c r="E97" s="84">
        <f>('R2023'!E97+'R2022'!E97+'R2021'!E97)/3</f>
        <v>0</v>
      </c>
      <c r="F97" s="84">
        <f>('R2023'!F97+'R2022'!F97+'R2021'!F97)/3</f>
        <v>0</v>
      </c>
      <c r="G97" s="84">
        <f>('R2023'!G97+'R2022'!G97+'R2021'!G97)/3</f>
        <v>0</v>
      </c>
      <c r="H97" s="84">
        <f>('R2023'!H97+'R2022'!H97+'R2021'!H97)/3</f>
        <v>0</v>
      </c>
      <c r="I97" s="84">
        <f>('R2023'!I97+'R2022'!I97+'R2021'!I97)/3</f>
        <v>0</v>
      </c>
      <c r="J97" s="71"/>
      <c r="K97" s="84">
        <f t="shared" si="3"/>
        <v>0</v>
      </c>
      <c r="L97" s="67">
        <f t="shared" si="4"/>
        <v>0</v>
      </c>
    </row>
    <row r="98" spans="1:12" x14ac:dyDescent="0.35">
      <c r="A98" s="37" t="s">
        <v>167</v>
      </c>
      <c r="B98" s="62" t="s">
        <v>168</v>
      </c>
      <c r="C98" s="54" t="s">
        <v>168</v>
      </c>
      <c r="D98" s="84">
        <f>('R2023'!D98+'R2022'!D98+'R2021'!D98)/3</f>
        <v>0</v>
      </c>
      <c r="E98" s="84">
        <f>('R2023'!E98+'R2022'!E98+'R2021'!E98)/3</f>
        <v>0</v>
      </c>
      <c r="F98" s="84">
        <f>('R2023'!F98+'R2022'!F98+'R2021'!F98)/3</f>
        <v>0</v>
      </c>
      <c r="G98" s="84">
        <f>('R2023'!G98+'R2022'!G98+'R2021'!G98)/3</f>
        <v>0</v>
      </c>
      <c r="H98" s="84">
        <f>('R2023'!H98+'R2022'!H98+'R2021'!H98)/3</f>
        <v>0</v>
      </c>
      <c r="I98" s="84">
        <f>('R2023'!I98+'R2022'!I98+'R2021'!I98)/3</f>
        <v>0</v>
      </c>
      <c r="J98" s="71"/>
      <c r="K98" s="84">
        <f t="shared" si="3"/>
        <v>0</v>
      </c>
      <c r="L98" s="67">
        <f t="shared" si="4"/>
        <v>0</v>
      </c>
    </row>
    <row r="99" spans="1:12" x14ac:dyDescent="0.35">
      <c r="A99" s="37" t="s">
        <v>169</v>
      </c>
      <c r="B99" s="62" t="s">
        <v>170</v>
      </c>
      <c r="C99" s="54" t="s">
        <v>891</v>
      </c>
      <c r="D99" s="84">
        <f>('R2023'!D99+'R2022'!D99+'R2021'!D99)/3</f>
        <v>0</v>
      </c>
      <c r="E99" s="84">
        <f>('R2023'!E99+'R2022'!E99+'R2021'!E99)/3</f>
        <v>0</v>
      </c>
      <c r="F99" s="84">
        <f>('R2023'!F99+'R2022'!F99+'R2021'!F99)/3</f>
        <v>0</v>
      </c>
      <c r="G99" s="84">
        <f>('R2023'!G99+'R2022'!G99+'R2021'!G99)/3</f>
        <v>0</v>
      </c>
      <c r="H99" s="84">
        <f>('R2023'!H99+'R2022'!H99+'R2021'!H99)/3</f>
        <v>0</v>
      </c>
      <c r="I99" s="84">
        <f>('R2023'!I99+'R2022'!I99+'R2021'!I99)/3</f>
        <v>0</v>
      </c>
      <c r="J99" s="71"/>
      <c r="K99" s="84">
        <f t="shared" si="3"/>
        <v>0</v>
      </c>
      <c r="L99" s="67">
        <f t="shared" si="4"/>
        <v>0</v>
      </c>
    </row>
    <row r="100" spans="1:12" x14ac:dyDescent="0.35">
      <c r="A100" s="37" t="s">
        <v>171</v>
      </c>
      <c r="B100" s="62" t="s">
        <v>172</v>
      </c>
      <c r="C100" s="54" t="s">
        <v>892</v>
      </c>
      <c r="D100" s="84">
        <f>('R2023'!D100+'R2022'!D100+'R2021'!D100)/3</f>
        <v>0</v>
      </c>
      <c r="E100" s="84">
        <f>('R2023'!E100+'R2022'!E100+'R2021'!E100)/3</f>
        <v>0</v>
      </c>
      <c r="F100" s="84">
        <f>('R2023'!F100+'R2022'!F100+'R2021'!F100)/3</f>
        <v>0</v>
      </c>
      <c r="G100" s="84">
        <f>('R2023'!G100+'R2022'!G100+'R2021'!G100)/3</f>
        <v>0</v>
      </c>
      <c r="H100" s="84">
        <f>('R2023'!H100+'R2022'!H100+'R2021'!H100)/3</f>
        <v>0</v>
      </c>
      <c r="I100" s="84">
        <f>('R2023'!I100+'R2022'!I100+'R2021'!I100)/3</f>
        <v>0</v>
      </c>
      <c r="J100" s="71"/>
      <c r="K100" s="84">
        <f t="shared" si="3"/>
        <v>0</v>
      </c>
      <c r="L100" s="67">
        <f t="shared" si="4"/>
        <v>0</v>
      </c>
    </row>
    <row r="101" spans="1:12" ht="15.65" customHeight="1" x14ac:dyDescent="0.35">
      <c r="A101" s="37" t="s">
        <v>173</v>
      </c>
      <c r="B101" s="62" t="s">
        <v>174</v>
      </c>
      <c r="C101" s="54" t="s">
        <v>174</v>
      </c>
      <c r="D101" s="84">
        <f>('R2023'!D101+'R2022'!D101+'R2021'!D101)/3</f>
        <v>0</v>
      </c>
      <c r="E101" s="84">
        <f>('R2023'!E101+'R2022'!E101+'R2021'!E101)/3</f>
        <v>0</v>
      </c>
      <c r="F101" s="84">
        <f>('R2023'!F101+'R2022'!F101+'R2021'!F101)/3</f>
        <v>0</v>
      </c>
      <c r="G101" s="84">
        <f>('R2023'!G101+'R2022'!G101+'R2021'!G101)/3</f>
        <v>0</v>
      </c>
      <c r="H101" s="84">
        <f>('R2023'!H101+'R2022'!H101+'R2021'!H101)/3</f>
        <v>0</v>
      </c>
      <c r="I101" s="84">
        <f>('R2023'!I101+'R2022'!I101+'R2021'!I101)/3</f>
        <v>0</v>
      </c>
      <c r="J101" s="71"/>
      <c r="K101" s="84">
        <f t="shared" si="3"/>
        <v>0</v>
      </c>
      <c r="L101" s="67">
        <f t="shared" si="4"/>
        <v>0</v>
      </c>
    </row>
    <row r="102" spans="1:12" ht="15" collapsed="1" thickBot="1" x14ac:dyDescent="0.4">
      <c r="A102" s="37"/>
      <c r="B102" s="62" t="s">
        <v>893</v>
      </c>
      <c r="C102" s="54"/>
      <c r="D102" s="84">
        <f>('R2023'!D102+'R2022'!D102+'R2021'!D102)/3</f>
        <v>0</v>
      </c>
      <c r="E102" s="84">
        <f>('R2023'!E102+'R2022'!E102+'R2021'!E102)/3</f>
        <v>1770200</v>
      </c>
      <c r="F102" s="84">
        <f>('R2023'!F102+'R2022'!F102+'R2021'!F102)/3</f>
        <v>4746551.666666667</v>
      </c>
      <c r="G102" s="84">
        <f>('R2023'!G102+'R2022'!G102+'R2021'!G102)/3</f>
        <v>5738061.333333333</v>
      </c>
      <c r="H102" s="84">
        <f>('R2023'!H102+'R2022'!H102+'R2021'!H102)/3</f>
        <v>3825944</v>
      </c>
      <c r="I102" s="84">
        <f>('R2023'!I102+'R2022'!I102+'R2021'!I102)/3</f>
        <v>626259.33333333337</v>
      </c>
      <c r="J102" s="71"/>
      <c r="K102" s="84">
        <f t="shared" si="3"/>
        <v>626259.33333333337</v>
      </c>
      <c r="L102" s="67">
        <f t="shared" si="4"/>
        <v>16707016.333333332</v>
      </c>
    </row>
    <row r="103" spans="1:12" hidden="1" outlineLevel="1" x14ac:dyDescent="0.35">
      <c r="A103" s="37" t="s">
        <v>175</v>
      </c>
      <c r="B103" s="62" t="s">
        <v>176</v>
      </c>
      <c r="C103" s="54" t="s">
        <v>893</v>
      </c>
      <c r="D103" s="84">
        <f>('R2023'!D103+'R2022'!D103+'R2021'!D103)/3</f>
        <v>0</v>
      </c>
      <c r="E103" s="84">
        <f>('R2023'!E103+'R2022'!E103+'R2021'!E103)/3</f>
        <v>2000</v>
      </c>
      <c r="F103" s="84">
        <f>('R2023'!F103+'R2022'!F103+'R2021'!F103)/3</f>
        <v>1568.3333333333333</v>
      </c>
      <c r="G103" s="84">
        <f>('R2023'!G103+'R2022'!G103+'R2021'!G103)/3</f>
        <v>0</v>
      </c>
      <c r="H103" s="84">
        <f>('R2023'!H103+'R2022'!H103+'R2021'!H103)/3</f>
        <v>6300.333333333333</v>
      </c>
      <c r="I103" s="84">
        <f>('R2023'!I103+'R2022'!I103+'R2021'!I103)/3</f>
        <v>0</v>
      </c>
      <c r="J103" s="71"/>
      <c r="K103" s="84">
        <f t="shared" si="3"/>
        <v>0</v>
      </c>
      <c r="L103" s="67">
        <f t="shared" si="4"/>
        <v>9868.6666666666661</v>
      </c>
    </row>
    <row r="104" spans="1:12" hidden="1" outlineLevel="1" x14ac:dyDescent="0.35">
      <c r="A104" s="37" t="s">
        <v>177</v>
      </c>
      <c r="B104" s="62" t="s">
        <v>178</v>
      </c>
      <c r="C104" s="54" t="s">
        <v>893</v>
      </c>
      <c r="D104" s="84">
        <f>('R2023'!D104+'R2022'!D104+'R2021'!D104)/3</f>
        <v>0</v>
      </c>
      <c r="E104" s="84">
        <f>('R2023'!E104+'R2022'!E104+'R2021'!E104)/3</f>
        <v>0</v>
      </c>
      <c r="F104" s="84">
        <f>('R2023'!F104+'R2022'!F104+'R2021'!F104)/3</f>
        <v>533.33333333333337</v>
      </c>
      <c r="G104" s="84">
        <f>('R2023'!G104+'R2022'!G104+'R2021'!G104)/3</f>
        <v>0</v>
      </c>
      <c r="H104" s="84">
        <f>('R2023'!H104+'R2022'!H104+'R2021'!H104)/3</f>
        <v>0</v>
      </c>
      <c r="I104" s="84">
        <f>('R2023'!I104+'R2022'!I104+'R2021'!I104)/3</f>
        <v>0</v>
      </c>
      <c r="J104" s="71"/>
      <c r="K104" s="84">
        <f t="shared" si="3"/>
        <v>0</v>
      </c>
      <c r="L104" s="67">
        <f t="shared" si="4"/>
        <v>533.33333333333337</v>
      </c>
    </row>
    <row r="105" spans="1:12" hidden="1" outlineLevel="1" x14ac:dyDescent="0.35">
      <c r="A105" s="37" t="s">
        <v>179</v>
      </c>
      <c r="B105" s="62" t="s">
        <v>180</v>
      </c>
      <c r="C105" s="54" t="s">
        <v>893</v>
      </c>
      <c r="D105" s="84">
        <f>('R2023'!D105+'R2022'!D105+'R2021'!D105)/3</f>
        <v>0</v>
      </c>
      <c r="E105" s="84">
        <f>('R2023'!E105+'R2022'!E105+'R2021'!E105)/3</f>
        <v>0</v>
      </c>
      <c r="F105" s="84">
        <f>('R2023'!F105+'R2022'!F105+'R2021'!F105)/3</f>
        <v>133.33333333333334</v>
      </c>
      <c r="G105" s="84">
        <f>('R2023'!G105+'R2022'!G105+'R2021'!G105)/3</f>
        <v>0</v>
      </c>
      <c r="H105" s="84">
        <f>('R2023'!H105+'R2022'!H105+'R2021'!H105)/3</f>
        <v>0</v>
      </c>
      <c r="I105" s="84">
        <f>('R2023'!I105+'R2022'!I105+'R2021'!I105)/3</f>
        <v>0</v>
      </c>
      <c r="J105" s="71"/>
      <c r="K105" s="84">
        <f t="shared" si="3"/>
        <v>0</v>
      </c>
      <c r="L105" s="67">
        <f t="shared" si="4"/>
        <v>133.33333333333334</v>
      </c>
    </row>
    <row r="106" spans="1:12" hidden="1" outlineLevel="1" x14ac:dyDescent="0.35">
      <c r="A106" s="37" t="s">
        <v>181</v>
      </c>
      <c r="B106" s="62" t="s">
        <v>182</v>
      </c>
      <c r="C106" s="54" t="s">
        <v>893</v>
      </c>
      <c r="D106" s="84">
        <f>('R2023'!D106+'R2022'!D106+'R2021'!D106)/3</f>
        <v>0</v>
      </c>
      <c r="E106" s="84">
        <f>('R2023'!E106+'R2022'!E106+'R2021'!E106)/3</f>
        <v>0</v>
      </c>
      <c r="F106" s="84" t="e">
        <f>('R2023'!F106+'R2022'!F106+'R2021'!F106)/3</f>
        <v>#VALUE!</v>
      </c>
      <c r="G106" s="84">
        <f>('R2023'!G106+'R2022'!G106+'R2021'!G106)/3</f>
        <v>0</v>
      </c>
      <c r="H106" s="84">
        <f>('R2023'!H106+'R2022'!H106+'R2021'!H106)/3</f>
        <v>0</v>
      </c>
      <c r="I106" s="84">
        <f>('R2023'!I106+'R2022'!I106+'R2021'!I106)/3</f>
        <v>0</v>
      </c>
      <c r="J106" s="71"/>
      <c r="K106" s="84">
        <f t="shared" si="3"/>
        <v>0</v>
      </c>
      <c r="L106" s="67" t="e">
        <f t="shared" si="4"/>
        <v>#VALUE!</v>
      </c>
    </row>
    <row r="107" spans="1:12" hidden="1" outlineLevel="1" x14ac:dyDescent="0.35">
      <c r="A107" s="37" t="s">
        <v>183</v>
      </c>
      <c r="B107" s="62" t="s">
        <v>184</v>
      </c>
      <c r="C107" s="54" t="s">
        <v>893</v>
      </c>
      <c r="D107" s="84">
        <f>('R2023'!D107+'R2022'!D107+'R2021'!D107)/3</f>
        <v>0</v>
      </c>
      <c r="E107" s="84">
        <f>('R2023'!E107+'R2022'!E107+'R2021'!E107)/3</f>
        <v>0</v>
      </c>
      <c r="F107" s="84">
        <f>('R2023'!F107+'R2022'!F107+'R2021'!F107)/3</f>
        <v>0</v>
      </c>
      <c r="G107" s="84">
        <f>('R2023'!G107+'R2022'!G107+'R2021'!G107)/3</f>
        <v>0</v>
      </c>
      <c r="H107" s="84">
        <f>('R2023'!H107+'R2022'!H107+'R2021'!H107)/3</f>
        <v>0</v>
      </c>
      <c r="I107" s="84">
        <f>('R2023'!I107+'R2022'!I107+'R2021'!I107)/3</f>
        <v>0</v>
      </c>
      <c r="J107" s="71"/>
      <c r="K107" s="84">
        <f t="shared" si="3"/>
        <v>0</v>
      </c>
      <c r="L107" s="67">
        <f t="shared" si="4"/>
        <v>0</v>
      </c>
    </row>
    <row r="108" spans="1:12" hidden="1" outlineLevel="1" x14ac:dyDescent="0.35">
      <c r="A108" s="48" t="s">
        <v>185</v>
      </c>
      <c r="B108" s="62" t="s">
        <v>186</v>
      </c>
      <c r="C108" s="54" t="s">
        <v>893</v>
      </c>
      <c r="D108" s="84">
        <f>('R2023'!D108+'R2022'!D108+'R2021'!D108)/3</f>
        <v>0</v>
      </c>
      <c r="E108" s="84">
        <f>('R2023'!E108+'R2022'!E108+'R2021'!E108)/3</f>
        <v>0</v>
      </c>
      <c r="F108" s="84">
        <f>('R2023'!F108+'R2022'!F108+'R2021'!F108)/3</f>
        <v>0</v>
      </c>
      <c r="G108" s="84">
        <f>('R2023'!G108+'R2022'!G108+'R2021'!G108)/3</f>
        <v>0</v>
      </c>
      <c r="H108" s="84">
        <f>('R2023'!H108+'R2022'!H108+'R2021'!H108)/3</f>
        <v>0</v>
      </c>
      <c r="I108" s="84">
        <f>('R2023'!I108+'R2022'!I108+'R2021'!I108)/3</f>
        <v>0</v>
      </c>
      <c r="J108" s="71"/>
      <c r="K108" s="84">
        <f t="shared" si="3"/>
        <v>0</v>
      </c>
      <c r="L108" s="67">
        <f t="shared" si="4"/>
        <v>0</v>
      </c>
    </row>
    <row r="109" spans="1:12" hidden="1" outlineLevel="1" x14ac:dyDescent="0.35">
      <c r="A109" s="48" t="s">
        <v>187</v>
      </c>
      <c r="B109" s="62" t="s">
        <v>188</v>
      </c>
      <c r="C109" s="54" t="s">
        <v>893</v>
      </c>
      <c r="D109" s="84">
        <f>('R2023'!D109+'R2022'!D109+'R2021'!D109)/3</f>
        <v>0</v>
      </c>
      <c r="E109" s="84">
        <f>('R2023'!E109+'R2022'!E109+'R2021'!E109)/3</f>
        <v>0</v>
      </c>
      <c r="F109" s="84">
        <f>('R2023'!F109+'R2022'!F109+'R2021'!F109)/3</f>
        <v>0</v>
      </c>
      <c r="G109" s="84">
        <f>('R2023'!G109+'R2022'!G109+'R2021'!G109)/3</f>
        <v>0</v>
      </c>
      <c r="H109" s="84">
        <f>('R2023'!H109+'R2022'!H109+'R2021'!H109)/3</f>
        <v>0</v>
      </c>
      <c r="I109" s="84">
        <f>('R2023'!I109+'R2022'!I109+'R2021'!I109)/3</f>
        <v>0</v>
      </c>
      <c r="J109" s="71"/>
      <c r="K109" s="84">
        <f t="shared" si="3"/>
        <v>0</v>
      </c>
      <c r="L109" s="67">
        <f t="shared" si="4"/>
        <v>0</v>
      </c>
    </row>
    <row r="110" spans="1:12" hidden="1" outlineLevel="1" x14ac:dyDescent="0.35">
      <c r="A110" s="37" t="s">
        <v>189</v>
      </c>
      <c r="B110" s="62" t="s">
        <v>190</v>
      </c>
      <c r="C110" s="54" t="s">
        <v>893</v>
      </c>
      <c r="D110" s="84">
        <f>('R2023'!D110+'R2022'!D110+'R2021'!D110)/3</f>
        <v>0</v>
      </c>
      <c r="E110" s="84">
        <f>('R2023'!E110+'R2022'!E110+'R2021'!E110)/3</f>
        <v>0</v>
      </c>
      <c r="F110" s="84">
        <f>('R2023'!F110+'R2022'!F110+'R2021'!F110)/3</f>
        <v>0</v>
      </c>
      <c r="G110" s="84">
        <f>('R2023'!G110+'R2022'!G110+'R2021'!G110)/3</f>
        <v>0</v>
      </c>
      <c r="H110" s="84">
        <f>('R2023'!H110+'R2022'!H110+'R2021'!H110)/3</f>
        <v>0</v>
      </c>
      <c r="I110" s="84">
        <f>('R2023'!I110+'R2022'!I110+'R2021'!I110)/3</f>
        <v>0</v>
      </c>
      <c r="J110" s="71"/>
      <c r="K110" s="84">
        <f t="shared" si="3"/>
        <v>0</v>
      </c>
      <c r="L110" s="67">
        <f t="shared" si="4"/>
        <v>0</v>
      </c>
    </row>
    <row r="111" spans="1:12" hidden="1" outlineLevel="1" x14ac:dyDescent="0.35">
      <c r="A111" s="37" t="s">
        <v>191</v>
      </c>
      <c r="B111" s="62" t="s">
        <v>192</v>
      </c>
      <c r="C111" s="54" t="s">
        <v>893</v>
      </c>
      <c r="D111" s="84">
        <f>('R2023'!D111+'R2022'!D111+'R2021'!D111)/3</f>
        <v>0</v>
      </c>
      <c r="E111" s="84">
        <f>('R2023'!E111+'R2022'!E111+'R2021'!E111)/3</f>
        <v>63596</v>
      </c>
      <c r="F111" s="84">
        <f>('R2023'!F111+'R2022'!F111+'R2021'!F111)/3</f>
        <v>1545648</v>
      </c>
      <c r="G111" s="84">
        <f>('R2023'!G111+'R2022'!G111+'R2021'!G111)/3</f>
        <v>3028344.6666666665</v>
      </c>
      <c r="H111" s="84">
        <f>('R2023'!H111+'R2022'!H111+'R2021'!H111)/3</f>
        <v>1497783.6666666667</v>
      </c>
      <c r="I111" s="84">
        <f>('R2023'!I111+'R2022'!I111+'R2021'!I111)/3</f>
        <v>509675</v>
      </c>
      <c r="J111" s="71"/>
      <c r="K111" s="84">
        <f t="shared" si="3"/>
        <v>509675</v>
      </c>
      <c r="L111" s="67">
        <f t="shared" si="4"/>
        <v>6645047.333333333</v>
      </c>
    </row>
    <row r="112" spans="1:12" hidden="1" outlineLevel="1" x14ac:dyDescent="0.35">
      <c r="A112" s="37" t="s">
        <v>193</v>
      </c>
      <c r="B112" s="62" t="s">
        <v>194</v>
      </c>
      <c r="C112" s="54" t="s">
        <v>893</v>
      </c>
      <c r="D112" s="84">
        <f>('R2023'!D112+'R2022'!D112+'R2021'!D112)/3</f>
        <v>0</v>
      </c>
      <c r="E112" s="84">
        <f>('R2023'!E112+'R2022'!E112+'R2021'!E112)/3</f>
        <v>1676906.3333333333</v>
      </c>
      <c r="F112" s="84">
        <f>('R2023'!F112+'R2022'!F112+'R2021'!F112)/3</f>
        <v>470546.33333333331</v>
      </c>
      <c r="G112" s="84">
        <f>('R2023'!G112+'R2022'!G112+'R2021'!G112)/3</f>
        <v>2626079</v>
      </c>
      <c r="H112" s="84">
        <f>('R2023'!H112+'R2022'!H112+'R2021'!H112)/3</f>
        <v>1554027.6666666667</v>
      </c>
      <c r="I112" s="84">
        <f>('R2023'!I112+'R2022'!I112+'R2021'!I112)/3</f>
        <v>100047</v>
      </c>
      <c r="J112" s="71"/>
      <c r="K112" s="84">
        <f t="shared" si="3"/>
        <v>100047</v>
      </c>
      <c r="L112" s="67">
        <f t="shared" si="4"/>
        <v>6427606.333333333</v>
      </c>
    </row>
    <row r="113" spans="1:12" hidden="1" outlineLevel="1" x14ac:dyDescent="0.35">
      <c r="A113" s="37" t="s">
        <v>195</v>
      </c>
      <c r="B113" s="62" t="s">
        <v>196</v>
      </c>
      <c r="C113" s="54" t="s">
        <v>893</v>
      </c>
      <c r="D113" s="84">
        <f>('R2023'!D113+'R2022'!D113+'R2021'!D113)/3</f>
        <v>0</v>
      </c>
      <c r="E113" s="84">
        <f>('R2023'!E113+'R2022'!E113+'R2021'!E113)/3</f>
        <v>8630.3333333333339</v>
      </c>
      <c r="F113" s="84">
        <f>('R2023'!F113+'R2022'!F113+'R2021'!F113)/3</f>
        <v>1711597</v>
      </c>
      <c r="G113" s="84">
        <f>('R2023'!G113+'R2022'!G113+'R2021'!G113)/3</f>
        <v>28993.666666666668</v>
      </c>
      <c r="H113" s="84">
        <f>('R2023'!H113+'R2022'!H113+'R2021'!H113)/3</f>
        <v>732143</v>
      </c>
      <c r="I113" s="84">
        <f>('R2023'!I113+'R2022'!I113+'R2021'!I113)/3</f>
        <v>0</v>
      </c>
      <c r="J113" s="71"/>
      <c r="K113" s="84">
        <f t="shared" si="3"/>
        <v>0</v>
      </c>
      <c r="L113" s="67">
        <f t="shared" si="4"/>
        <v>2481364</v>
      </c>
    </row>
    <row r="114" spans="1:12" hidden="1" outlineLevel="1" x14ac:dyDescent="0.35">
      <c r="A114" s="37" t="s">
        <v>197</v>
      </c>
      <c r="B114" s="62" t="s">
        <v>198</v>
      </c>
      <c r="C114" s="54" t="s">
        <v>893</v>
      </c>
      <c r="D114" s="84">
        <f>('R2023'!D114+'R2022'!D114+'R2021'!D114)/3</f>
        <v>0</v>
      </c>
      <c r="E114" s="84">
        <f>('R2023'!E114+'R2022'!E114+'R2021'!E114)/3</f>
        <v>19067.333333333332</v>
      </c>
      <c r="F114" s="84">
        <f>('R2023'!F114+'R2022'!F114+'R2021'!F114)/3</f>
        <v>854599.66666666663</v>
      </c>
      <c r="G114" s="84">
        <f>('R2023'!G114+'R2022'!G114+'R2021'!G114)/3</f>
        <v>9204.3333333333339</v>
      </c>
      <c r="H114" s="84">
        <f>('R2023'!H114+'R2022'!H114+'R2021'!H114)/3</f>
        <v>0</v>
      </c>
      <c r="I114" s="84">
        <f>('R2023'!I114+'R2022'!I114+'R2021'!I114)/3</f>
        <v>0</v>
      </c>
      <c r="J114" s="71"/>
      <c r="K114" s="84">
        <f t="shared" si="3"/>
        <v>0</v>
      </c>
      <c r="L114" s="67">
        <f t="shared" si="4"/>
        <v>882871.33333333337</v>
      </c>
    </row>
    <row r="115" spans="1:12" hidden="1" outlineLevel="1" x14ac:dyDescent="0.35">
      <c r="A115" s="37" t="s">
        <v>199</v>
      </c>
      <c r="B115" s="62" t="s">
        <v>200</v>
      </c>
      <c r="C115" s="54" t="s">
        <v>893</v>
      </c>
      <c r="D115" s="84">
        <f>('R2023'!D115+'R2022'!D115+'R2021'!D115)/3</f>
        <v>0</v>
      </c>
      <c r="E115" s="84">
        <f>('R2023'!E115+'R2022'!E115+'R2021'!E115)/3</f>
        <v>0</v>
      </c>
      <c r="F115" s="84">
        <f>('R2023'!F115+'R2022'!F115+'R2021'!F115)/3</f>
        <v>3082.3333333333335</v>
      </c>
      <c r="G115" s="84">
        <f>('R2023'!G115+'R2022'!G115+'R2021'!G115)/3</f>
        <v>11480.333333333334</v>
      </c>
      <c r="H115" s="84">
        <f>('R2023'!H115+'R2022'!H115+'R2021'!H115)/3</f>
        <v>0</v>
      </c>
      <c r="I115" s="84">
        <f>('R2023'!I115+'R2022'!I115+'R2021'!I115)/3</f>
        <v>0</v>
      </c>
      <c r="J115" s="71"/>
      <c r="K115" s="84">
        <f t="shared" si="3"/>
        <v>0</v>
      </c>
      <c r="L115" s="67">
        <f t="shared" si="4"/>
        <v>14562.666666666668</v>
      </c>
    </row>
    <row r="116" spans="1:12" hidden="1" outlineLevel="1" x14ac:dyDescent="0.35">
      <c r="A116" s="37" t="s">
        <v>201</v>
      </c>
      <c r="B116" s="62" t="s">
        <v>202</v>
      </c>
      <c r="C116" s="54" t="s">
        <v>893</v>
      </c>
      <c r="D116" s="84">
        <f>('R2023'!D116+'R2022'!D116+'R2021'!D116)/3</f>
        <v>0</v>
      </c>
      <c r="E116" s="84">
        <f>('R2023'!E116+'R2022'!E116+'R2021'!E116)/3</f>
        <v>0</v>
      </c>
      <c r="F116" s="84">
        <f>('R2023'!F116+'R2022'!F116+'R2021'!F116)/3</f>
        <v>457.33333333333331</v>
      </c>
      <c r="G116" s="84">
        <f>('R2023'!G116+'R2022'!G116+'R2021'!G116)/3</f>
        <v>13399</v>
      </c>
      <c r="H116" s="84">
        <f>('R2023'!H116+'R2022'!H116+'R2021'!H116)/3</f>
        <v>0</v>
      </c>
      <c r="I116" s="84">
        <f>('R2023'!I116+'R2022'!I116+'R2021'!I116)/3</f>
        <v>0</v>
      </c>
      <c r="J116" s="71"/>
      <c r="K116" s="84">
        <f t="shared" si="3"/>
        <v>0</v>
      </c>
      <c r="L116" s="67">
        <f t="shared" si="4"/>
        <v>13856.333333333334</v>
      </c>
    </row>
    <row r="117" spans="1:12" hidden="1" outlineLevel="1" x14ac:dyDescent="0.35">
      <c r="A117" s="37" t="s">
        <v>203</v>
      </c>
      <c r="B117" s="62" t="s">
        <v>204</v>
      </c>
      <c r="C117" s="54" t="s">
        <v>893</v>
      </c>
      <c r="D117" s="84">
        <f>('R2023'!D117+'R2022'!D117+'R2021'!D117)/3</f>
        <v>0</v>
      </c>
      <c r="E117" s="84">
        <f>('R2023'!E117+'R2022'!E117+'R2021'!E117)/3</f>
        <v>0</v>
      </c>
      <c r="F117" s="84">
        <f>('R2023'!F117+'R2022'!F117+'R2021'!F117)/3</f>
        <v>0</v>
      </c>
      <c r="G117" s="84">
        <f>('R2023'!G117+'R2022'!G117+'R2021'!G117)/3</f>
        <v>0</v>
      </c>
      <c r="H117" s="84">
        <f>('R2023'!H117+'R2022'!H117+'R2021'!H117)/3</f>
        <v>0</v>
      </c>
      <c r="I117" s="84">
        <f>('R2023'!I117+'R2022'!I117+'R2021'!I117)/3</f>
        <v>0</v>
      </c>
      <c r="J117" s="71"/>
      <c r="K117" s="84">
        <f t="shared" si="3"/>
        <v>0</v>
      </c>
      <c r="L117" s="67">
        <f t="shared" si="4"/>
        <v>0</v>
      </c>
    </row>
    <row r="118" spans="1:12" hidden="1" outlineLevel="1" x14ac:dyDescent="0.35">
      <c r="A118" s="37" t="s">
        <v>205</v>
      </c>
      <c r="B118" s="62" t="s">
        <v>206</v>
      </c>
      <c r="C118" s="54" t="s">
        <v>893</v>
      </c>
      <c r="D118" s="84">
        <f>('R2023'!D118+'R2022'!D118+'R2021'!D118)/3</f>
        <v>0</v>
      </c>
      <c r="E118" s="84">
        <f>('R2023'!E118+'R2022'!E118+'R2021'!E118)/3</f>
        <v>0</v>
      </c>
      <c r="F118" s="84">
        <f>('R2023'!F118+'R2022'!F118+'R2021'!F118)/3</f>
        <v>0</v>
      </c>
      <c r="G118" s="84">
        <f>('R2023'!G118+'R2022'!G118+'R2021'!G118)/3</f>
        <v>0</v>
      </c>
      <c r="H118" s="84">
        <f>('R2023'!H118+'R2022'!H118+'R2021'!H118)/3</f>
        <v>0</v>
      </c>
      <c r="I118" s="84">
        <f>('R2023'!I118+'R2022'!I118+'R2021'!I118)/3</f>
        <v>0</v>
      </c>
      <c r="J118" s="71"/>
      <c r="K118" s="84">
        <f t="shared" si="3"/>
        <v>0</v>
      </c>
      <c r="L118" s="67">
        <f t="shared" si="4"/>
        <v>0</v>
      </c>
    </row>
    <row r="119" spans="1:12" hidden="1" outlineLevel="1" x14ac:dyDescent="0.35">
      <c r="A119" s="37" t="s">
        <v>207</v>
      </c>
      <c r="B119" s="62" t="s">
        <v>208</v>
      </c>
      <c r="C119" s="54" t="s">
        <v>893</v>
      </c>
      <c r="D119" s="84">
        <f>('R2023'!D119+'R2022'!D119+'R2021'!D119)/3</f>
        <v>0</v>
      </c>
      <c r="E119" s="84">
        <f>('R2023'!E119+'R2022'!E119+'R2021'!E119)/3</f>
        <v>0</v>
      </c>
      <c r="F119" s="84">
        <f>('R2023'!F119+'R2022'!F119+'R2021'!F119)/3</f>
        <v>0</v>
      </c>
      <c r="G119" s="84">
        <f>('R2023'!G119+'R2022'!G119+'R2021'!G119)/3</f>
        <v>0</v>
      </c>
      <c r="H119" s="84">
        <f>('R2023'!H119+'R2022'!H119+'R2021'!H119)/3</f>
        <v>0</v>
      </c>
      <c r="I119" s="84">
        <f>('R2023'!I119+'R2022'!I119+'R2021'!I119)/3</f>
        <v>0</v>
      </c>
      <c r="J119" s="71"/>
      <c r="K119" s="84">
        <f t="shared" si="3"/>
        <v>0</v>
      </c>
      <c r="L119" s="67">
        <f t="shared" si="4"/>
        <v>0</v>
      </c>
    </row>
    <row r="120" spans="1:12" hidden="1" outlineLevel="1" x14ac:dyDescent="0.35">
      <c r="A120" s="37" t="s">
        <v>209</v>
      </c>
      <c r="B120" s="62" t="s">
        <v>210</v>
      </c>
      <c r="C120" s="54" t="s">
        <v>893</v>
      </c>
      <c r="D120" s="84">
        <f>('R2023'!D120+'R2022'!D120+'R2021'!D120)/3</f>
        <v>0</v>
      </c>
      <c r="E120" s="84">
        <f>('R2023'!E120+'R2022'!E120+'R2021'!E120)/3</f>
        <v>0</v>
      </c>
      <c r="F120" s="84">
        <f>('R2023'!F120+'R2022'!F120+'R2021'!F120)/3</f>
        <v>158386</v>
      </c>
      <c r="G120" s="84">
        <f>('R2023'!G120+'R2022'!G120+'R2021'!G120)/3</f>
        <v>20560.333333333332</v>
      </c>
      <c r="H120" s="84">
        <f>('R2023'!H120+'R2022'!H120+'R2021'!H120)/3</f>
        <v>35689.333333333336</v>
      </c>
      <c r="I120" s="84">
        <f>('R2023'!I120+'R2022'!I120+'R2021'!I120)/3</f>
        <v>16537.333333333332</v>
      </c>
      <c r="J120" s="71"/>
      <c r="K120" s="84">
        <f t="shared" si="3"/>
        <v>16537.333333333332</v>
      </c>
      <c r="L120" s="67">
        <f t="shared" si="4"/>
        <v>231173.00000000003</v>
      </c>
    </row>
    <row r="121" spans="1:12" ht="15" hidden="1" outlineLevel="1" thickBot="1" x14ac:dyDescent="0.4">
      <c r="A121" s="37" t="s">
        <v>211</v>
      </c>
      <c r="B121" s="62" t="s">
        <v>212</v>
      </c>
      <c r="C121" s="54" t="s">
        <v>893</v>
      </c>
      <c r="D121" s="84">
        <f>('R2023'!D121+'R2022'!D121+'R2021'!D121)/3</f>
        <v>0</v>
      </c>
      <c r="E121" s="84">
        <f>('R2023'!E121+'R2022'!E121+'R2021'!E121)/3</f>
        <v>0</v>
      </c>
      <c r="F121" s="84">
        <f>('R2023'!F121+'R2022'!F121+'R2021'!F121)/3</f>
        <v>0</v>
      </c>
      <c r="G121" s="84">
        <f>('R2023'!G121+'R2022'!G121+'R2021'!G121)/3</f>
        <v>0</v>
      </c>
      <c r="H121" s="84">
        <f>('R2023'!H121+'R2022'!H121+'R2021'!H121)/3</f>
        <v>0</v>
      </c>
      <c r="I121" s="84">
        <f>('R2023'!I121+'R2022'!I121+'R2021'!I121)/3</f>
        <v>0</v>
      </c>
      <c r="J121" s="71"/>
      <c r="K121" s="84">
        <f t="shared" si="3"/>
        <v>0</v>
      </c>
      <c r="L121" s="67">
        <f t="shared" si="4"/>
        <v>0</v>
      </c>
    </row>
    <row r="122" spans="1:12" ht="15" collapsed="1" thickBot="1" x14ac:dyDescent="0.4">
      <c r="A122" s="49"/>
      <c r="B122" s="112" t="s">
        <v>1284</v>
      </c>
      <c r="C122" s="50"/>
      <c r="D122" s="142">
        <f>('R2023'!D122+'R2022'!D122+'R2021'!D122)/3</f>
        <v>0</v>
      </c>
      <c r="E122" s="142">
        <f>('R2023'!E122+'R2022'!E122+'R2021'!E122)/3</f>
        <v>6076896.666666667</v>
      </c>
      <c r="F122" s="142">
        <f>('R2023'!F122+'R2022'!F122+'R2021'!F122)/3</f>
        <v>5967461.666666667</v>
      </c>
      <c r="G122" s="142">
        <f>('R2023'!G122+'R2022'!G122+'R2021'!G122)/3</f>
        <v>7575046.333333333</v>
      </c>
      <c r="H122" s="142">
        <f>('R2023'!H122+'R2022'!H122+'R2021'!H122)/3</f>
        <v>5167985.666666667</v>
      </c>
      <c r="I122" s="142">
        <f>('R2023'!I122+'R2022'!I122+'R2021'!I122)/3</f>
        <v>1015012.3333333334</v>
      </c>
      <c r="J122" s="141"/>
      <c r="K122" s="142">
        <f t="shared" si="3"/>
        <v>1015012.3333333334</v>
      </c>
      <c r="L122" s="113">
        <f t="shared" si="4"/>
        <v>25802402.666666668</v>
      </c>
    </row>
    <row r="123" spans="1:12" x14ac:dyDescent="0.35">
      <c r="A123" s="52"/>
      <c r="B123" s="72"/>
      <c r="C123" s="53"/>
      <c r="D123" s="84">
        <f>('R2023'!D123+'R2022'!D123+'R2021'!D123)/3</f>
        <v>0</v>
      </c>
      <c r="E123" s="84">
        <f>('R2023'!E123+'R2022'!E123+'R2021'!E123)/3</f>
        <v>0</v>
      </c>
      <c r="F123" s="84">
        <f>('R2023'!F123+'R2022'!F123+'R2021'!F123)/3</f>
        <v>0</v>
      </c>
      <c r="G123" s="84">
        <f>('R2023'!G123+'R2022'!G123+'R2021'!G123)/3</f>
        <v>0</v>
      </c>
      <c r="H123" s="84">
        <f>('R2023'!H123+'R2022'!H123+'R2021'!H123)/3</f>
        <v>0</v>
      </c>
      <c r="I123" s="84">
        <f>('R2023'!I123+'R2022'!I123+'R2021'!I123)/3</f>
        <v>0</v>
      </c>
      <c r="J123" s="71"/>
      <c r="K123" s="84">
        <f t="shared" si="3"/>
        <v>0</v>
      </c>
      <c r="L123" s="67">
        <f t="shared" si="4"/>
        <v>0</v>
      </c>
    </row>
    <row r="124" spans="1:12" x14ac:dyDescent="0.35">
      <c r="A124" s="37" t="s">
        <v>213</v>
      </c>
      <c r="B124" s="62" t="s">
        <v>0</v>
      </c>
      <c r="C124" s="54" t="s">
        <v>894</v>
      </c>
      <c r="D124" s="84">
        <f>('R2023'!D124+'R2022'!D124+'R2021'!D124)/3</f>
        <v>0</v>
      </c>
      <c r="E124" s="84">
        <f>('R2023'!E124+'R2022'!E124+'R2021'!E124)/3</f>
        <v>5702387.666666667</v>
      </c>
      <c r="F124" s="84">
        <f>('R2023'!F124+'R2022'!F124+'R2021'!F124)/3</f>
        <v>0</v>
      </c>
      <c r="G124" s="84">
        <f>('R2023'!G124+'R2022'!G124+'R2021'!G124)/3</f>
        <v>2523469</v>
      </c>
      <c r="H124" s="84">
        <f>('R2023'!H124+'R2022'!H124+'R2021'!H124)/3</f>
        <v>0</v>
      </c>
      <c r="I124" s="84">
        <f>('R2023'!I124+'R2022'!I124+'R2021'!I124)/3</f>
        <v>0</v>
      </c>
      <c r="J124" s="71"/>
      <c r="K124" s="84">
        <f t="shared" si="3"/>
        <v>0</v>
      </c>
      <c r="L124" s="67">
        <f t="shared" si="4"/>
        <v>8225856.666666667</v>
      </c>
    </row>
    <row r="125" spans="1:12" x14ac:dyDescent="0.35">
      <c r="A125" s="37" t="s">
        <v>214</v>
      </c>
      <c r="B125" s="62" t="s">
        <v>215</v>
      </c>
      <c r="C125" s="54" t="s">
        <v>215</v>
      </c>
      <c r="D125" s="84">
        <f>('R2023'!D125+'R2022'!D125+'R2021'!D125)/3</f>
        <v>0</v>
      </c>
      <c r="E125" s="84">
        <f>('R2023'!E125+'R2022'!E125+'R2021'!E125)/3</f>
        <v>0</v>
      </c>
      <c r="F125" s="84">
        <f>('R2023'!F125+'R2022'!F125+'R2021'!F125)/3</f>
        <v>0</v>
      </c>
      <c r="G125" s="84">
        <f>('R2023'!G125+'R2022'!G125+'R2021'!G125)/3</f>
        <v>0</v>
      </c>
      <c r="H125" s="84">
        <f>('R2023'!H125+'R2022'!H125+'R2021'!H125)/3</f>
        <v>0</v>
      </c>
      <c r="I125" s="84">
        <f>('R2023'!I125+'R2022'!I125+'R2021'!I125)/3</f>
        <v>0</v>
      </c>
      <c r="J125" s="71"/>
      <c r="K125" s="84">
        <f t="shared" si="3"/>
        <v>0</v>
      </c>
      <c r="L125" s="67">
        <f t="shared" si="4"/>
        <v>0</v>
      </c>
    </row>
    <row r="126" spans="1:12" x14ac:dyDescent="0.35">
      <c r="A126" s="37" t="s">
        <v>216</v>
      </c>
      <c r="B126" s="62" t="s">
        <v>217</v>
      </c>
      <c r="C126" s="54" t="s">
        <v>217</v>
      </c>
      <c r="D126" s="84">
        <f>('R2023'!D126+'R2022'!D126+'R2021'!D126)/3</f>
        <v>0</v>
      </c>
      <c r="E126" s="84">
        <f>('R2023'!E126+'R2022'!E126+'R2021'!E126)/3</f>
        <v>0</v>
      </c>
      <c r="F126" s="84">
        <f>('R2023'!F126+'R2022'!F126+'R2021'!F126)/3</f>
        <v>0</v>
      </c>
      <c r="G126" s="84">
        <f>('R2023'!G126+'R2022'!G126+'R2021'!G126)/3</f>
        <v>0</v>
      </c>
      <c r="H126" s="84">
        <f>('R2023'!H126+'R2022'!H126+'R2021'!H126)/3</f>
        <v>0</v>
      </c>
      <c r="I126" s="84">
        <f>('R2023'!I126+'R2022'!I126+'R2021'!I126)/3</f>
        <v>0</v>
      </c>
      <c r="J126" s="71"/>
      <c r="K126" s="84">
        <f t="shared" si="3"/>
        <v>0</v>
      </c>
      <c r="L126" s="67">
        <f t="shared" si="4"/>
        <v>0</v>
      </c>
    </row>
    <row r="127" spans="1:12" collapsed="1" x14ac:dyDescent="0.35">
      <c r="A127" s="37"/>
      <c r="B127" s="62" t="s">
        <v>896</v>
      </c>
      <c r="C127" s="54"/>
      <c r="D127" s="84">
        <f>('R2023'!D127+'R2022'!D127+'R2021'!D127)/3</f>
        <v>0</v>
      </c>
      <c r="E127" s="84">
        <f>('R2023'!E127+'R2022'!E127+'R2021'!E127)/3</f>
        <v>0</v>
      </c>
      <c r="F127" s="84">
        <f>('R2023'!F127+'R2022'!F127+'R2021'!F127)/3</f>
        <v>4127455.6666666665</v>
      </c>
      <c r="G127" s="84">
        <f>('R2023'!G127+'R2022'!G127+'R2021'!G127)/3</f>
        <v>3994076</v>
      </c>
      <c r="H127" s="84">
        <f>('R2023'!H127+'R2022'!H127+'R2021'!H127)/3</f>
        <v>3664126.6666666665</v>
      </c>
      <c r="I127" s="84">
        <f>('R2023'!I127+'R2022'!I127+'R2021'!I127)/3</f>
        <v>880573.66666666663</v>
      </c>
      <c r="J127" s="71"/>
      <c r="K127" s="84">
        <f t="shared" si="3"/>
        <v>880573.66666666663</v>
      </c>
      <c r="L127" s="67">
        <f t="shared" si="4"/>
        <v>12666231.999999998</v>
      </c>
    </row>
    <row r="128" spans="1:12" hidden="1" outlineLevel="1" x14ac:dyDescent="0.35">
      <c r="A128" s="37" t="s">
        <v>218</v>
      </c>
      <c r="B128" s="69" t="s">
        <v>895</v>
      </c>
      <c r="C128" s="54" t="s">
        <v>896</v>
      </c>
      <c r="D128" s="84">
        <f>('R2023'!D128+'R2022'!D128+'R2021'!D128)/3</f>
        <v>0</v>
      </c>
      <c r="E128" s="84">
        <f>('R2023'!E128+'R2022'!E128+'R2021'!E128)/3</f>
        <v>0</v>
      </c>
      <c r="F128" s="84">
        <f>('R2023'!F128+'R2022'!F128+'R2021'!F128)/3</f>
        <v>4127455.6666666665</v>
      </c>
      <c r="G128" s="84">
        <f>('R2023'!G128+'R2022'!G128+'R2021'!G128)/3</f>
        <v>3561527</v>
      </c>
      <c r="H128" s="84">
        <f>('R2023'!H128+'R2022'!H128+'R2021'!H128)/3</f>
        <v>3637158.3333333335</v>
      </c>
      <c r="I128" s="84">
        <f>('R2023'!I128+'R2022'!I128+'R2021'!I128)/3</f>
        <v>880573.66666666663</v>
      </c>
      <c r="J128" s="71"/>
      <c r="K128" s="84">
        <f t="shared" si="3"/>
        <v>880573.66666666663</v>
      </c>
      <c r="L128" s="67">
        <f t="shared" si="4"/>
        <v>12206714.666666666</v>
      </c>
    </row>
    <row r="129" spans="1:12" hidden="1" outlineLevel="1" x14ac:dyDescent="0.35">
      <c r="A129" s="37" t="s">
        <v>219</v>
      </c>
      <c r="B129" s="62" t="s">
        <v>220</v>
      </c>
      <c r="C129" s="54" t="s">
        <v>896</v>
      </c>
      <c r="D129" s="84">
        <f>('R2023'!D129+'R2022'!D129+'R2021'!D129)/3</f>
        <v>0</v>
      </c>
      <c r="E129" s="84">
        <f>('R2023'!E129+'R2022'!E129+'R2021'!E129)/3</f>
        <v>0</v>
      </c>
      <c r="F129" s="84">
        <f>('R2023'!F129+'R2022'!F129+'R2021'!F129)/3</f>
        <v>0</v>
      </c>
      <c r="G129" s="84">
        <f>('R2023'!G129+'R2022'!G129+'R2021'!G129)/3</f>
        <v>432549</v>
      </c>
      <c r="H129" s="84">
        <f>('R2023'!H129+'R2022'!H129+'R2021'!H129)/3</f>
        <v>0</v>
      </c>
      <c r="I129" s="84">
        <f>('R2023'!I129+'R2022'!I129+'R2021'!I129)/3</f>
        <v>0</v>
      </c>
      <c r="J129" s="71"/>
      <c r="K129" s="84">
        <f t="shared" si="3"/>
        <v>0</v>
      </c>
      <c r="L129" s="67">
        <f t="shared" si="4"/>
        <v>432549</v>
      </c>
    </row>
    <row r="130" spans="1:12" x14ac:dyDescent="0.35">
      <c r="A130" s="37" t="s">
        <v>221</v>
      </c>
      <c r="B130" s="62" t="s">
        <v>222</v>
      </c>
      <c r="C130" s="54" t="s">
        <v>222</v>
      </c>
      <c r="D130" s="84">
        <f>('R2023'!D130+'R2022'!D130+'R2021'!D130)/3</f>
        <v>0</v>
      </c>
      <c r="E130" s="84">
        <f>('R2023'!E130+'R2022'!E130+'R2021'!E130)/3</f>
        <v>0</v>
      </c>
      <c r="F130" s="84">
        <f>('R2023'!F130+'R2022'!F130+'R2021'!F130)/3</f>
        <v>0</v>
      </c>
      <c r="G130" s="84">
        <f>('R2023'!G130+'R2022'!G130+'R2021'!G130)/3</f>
        <v>0</v>
      </c>
      <c r="H130" s="84">
        <f>('R2023'!H130+'R2022'!H130+'R2021'!H130)/3</f>
        <v>0</v>
      </c>
      <c r="I130" s="84">
        <f>('R2023'!I130+'R2022'!I130+'R2021'!I130)/3</f>
        <v>0</v>
      </c>
      <c r="J130" s="71"/>
      <c r="K130" s="84">
        <f t="shared" si="3"/>
        <v>0</v>
      </c>
      <c r="L130" s="67">
        <f t="shared" si="4"/>
        <v>0</v>
      </c>
    </row>
    <row r="131" spans="1:12" x14ac:dyDescent="0.35">
      <c r="A131" s="37" t="s">
        <v>223</v>
      </c>
      <c r="B131" s="62" t="s">
        <v>224</v>
      </c>
      <c r="C131" s="54" t="s">
        <v>224</v>
      </c>
      <c r="D131" s="84">
        <f>('R2023'!D131+'R2022'!D131+'R2021'!D131)/3</f>
        <v>0</v>
      </c>
      <c r="E131" s="84">
        <f>('R2023'!E131+'R2022'!E131+'R2021'!E131)/3</f>
        <v>0</v>
      </c>
      <c r="F131" s="84">
        <f>('R2023'!F131+'R2022'!F131+'R2021'!F131)/3</f>
        <v>0</v>
      </c>
      <c r="G131" s="84">
        <f>('R2023'!G131+'R2022'!G131+'R2021'!G131)/3</f>
        <v>0</v>
      </c>
      <c r="H131" s="84">
        <f>('R2023'!H131+'R2022'!H131+'R2021'!H131)/3</f>
        <v>0</v>
      </c>
      <c r="I131" s="84">
        <f>('R2023'!I131+'R2022'!I131+'R2021'!I131)/3</f>
        <v>0</v>
      </c>
      <c r="J131" s="71"/>
      <c r="K131" s="84">
        <f t="shared" si="3"/>
        <v>0</v>
      </c>
      <c r="L131" s="67">
        <f t="shared" si="4"/>
        <v>0</v>
      </c>
    </row>
    <row r="132" spans="1:12" x14ac:dyDescent="0.35">
      <c r="A132" s="37" t="s">
        <v>225</v>
      </c>
      <c r="B132" s="62" t="s">
        <v>226</v>
      </c>
      <c r="C132" s="54" t="s">
        <v>226</v>
      </c>
      <c r="D132" s="84">
        <f>('R2023'!D132+'R2022'!D132+'R2021'!D132)/3</f>
        <v>0</v>
      </c>
      <c r="E132" s="84">
        <f>('R2023'!E132+'R2022'!E132+'R2021'!E132)/3</f>
        <v>0</v>
      </c>
      <c r="F132" s="84">
        <f>('R2023'!F132+'R2022'!F132+'R2021'!F132)/3</f>
        <v>0</v>
      </c>
      <c r="G132" s="84">
        <f>('R2023'!G132+'R2022'!G132+'R2021'!G132)/3</f>
        <v>0</v>
      </c>
      <c r="H132" s="84">
        <f>('R2023'!H132+'R2022'!H132+'R2021'!H132)/3</f>
        <v>0</v>
      </c>
      <c r="I132" s="84">
        <f>('R2023'!I132+'R2022'!I132+'R2021'!I132)/3</f>
        <v>0</v>
      </c>
      <c r="J132" s="71"/>
      <c r="K132" s="84">
        <f t="shared" si="3"/>
        <v>0</v>
      </c>
      <c r="L132" s="67">
        <f t="shared" si="4"/>
        <v>0</v>
      </c>
    </row>
    <row r="133" spans="1:12" collapsed="1" x14ac:dyDescent="0.35">
      <c r="A133" s="37"/>
      <c r="B133" s="62" t="s">
        <v>897</v>
      </c>
      <c r="C133" s="54"/>
      <c r="D133" s="84">
        <f>('R2023'!D133+'R2022'!D133+'R2021'!D133)/3</f>
        <v>0</v>
      </c>
      <c r="E133" s="84">
        <f>('R2023'!E133+'R2022'!E133+'R2021'!E133)/3</f>
        <v>0</v>
      </c>
      <c r="F133" s="84">
        <f>('R2023'!F133+'R2022'!F133+'R2021'!F133)/3</f>
        <v>0</v>
      </c>
      <c r="G133" s="84">
        <f>('R2023'!G133+'R2022'!G133+'R2021'!G133)/3</f>
        <v>0</v>
      </c>
      <c r="H133" s="84">
        <f>('R2023'!H133+'R2022'!H133+'R2021'!H133)/3</f>
        <v>0</v>
      </c>
      <c r="I133" s="84">
        <f>('R2023'!I133+'R2022'!I133+'R2021'!I133)/3</f>
        <v>0</v>
      </c>
      <c r="J133" s="71"/>
      <c r="K133" s="84">
        <f t="shared" si="3"/>
        <v>0</v>
      </c>
      <c r="L133" s="67">
        <f t="shared" si="4"/>
        <v>0</v>
      </c>
    </row>
    <row r="134" spans="1:12" hidden="1" outlineLevel="1" x14ac:dyDescent="0.35">
      <c r="A134" s="37" t="s">
        <v>227</v>
      </c>
      <c r="B134" s="62" t="s">
        <v>228</v>
      </c>
      <c r="C134" s="54" t="s">
        <v>897</v>
      </c>
      <c r="D134" s="84">
        <f>('R2023'!D134+'R2022'!D134+'R2021'!D134)/3</f>
        <v>0</v>
      </c>
      <c r="E134" s="84">
        <f>('R2023'!E134+'R2022'!E134+'R2021'!E134)/3</f>
        <v>0</v>
      </c>
      <c r="F134" s="84">
        <f>('R2023'!F134+'R2022'!F134+'R2021'!F134)/3</f>
        <v>0</v>
      </c>
      <c r="G134" s="84">
        <f>('R2023'!G134+'R2022'!G134+'R2021'!G134)/3</f>
        <v>0</v>
      </c>
      <c r="H134" s="84">
        <f>('R2023'!H134+'R2022'!H134+'R2021'!H134)/3</f>
        <v>0</v>
      </c>
      <c r="I134" s="84">
        <f>('R2023'!I134+'R2022'!I134+'R2021'!I134)/3</f>
        <v>0</v>
      </c>
      <c r="J134" s="71"/>
      <c r="K134" s="84">
        <f t="shared" ref="K134:K197" si="5">J134+I134</f>
        <v>0</v>
      </c>
      <c r="L134" s="67">
        <f t="shared" ref="L134:L197" si="6">K134+D134+E134+F134+G134+H134</f>
        <v>0</v>
      </c>
    </row>
    <row r="135" spans="1:12" hidden="1" outlineLevel="1" x14ac:dyDescent="0.35">
      <c r="A135" s="37" t="s">
        <v>229</v>
      </c>
      <c r="B135" s="62" t="s">
        <v>230</v>
      </c>
      <c r="C135" s="54" t="s">
        <v>897</v>
      </c>
      <c r="D135" s="84">
        <f>('R2023'!D135+'R2022'!D135+'R2021'!D135)/3</f>
        <v>0</v>
      </c>
      <c r="E135" s="84">
        <f>('R2023'!E135+'R2022'!E135+'R2021'!E135)/3</f>
        <v>0</v>
      </c>
      <c r="F135" s="84">
        <f>('R2023'!F135+'R2022'!F135+'R2021'!F135)/3</f>
        <v>0</v>
      </c>
      <c r="G135" s="84">
        <f>('R2023'!G135+'R2022'!G135+'R2021'!G135)/3</f>
        <v>0</v>
      </c>
      <c r="H135" s="84">
        <f>('R2023'!H135+'R2022'!H135+'R2021'!H135)/3</f>
        <v>0</v>
      </c>
      <c r="I135" s="84">
        <f>('R2023'!I135+'R2022'!I135+'R2021'!I135)/3</f>
        <v>0</v>
      </c>
      <c r="J135" s="71"/>
      <c r="K135" s="84">
        <f t="shared" si="5"/>
        <v>0</v>
      </c>
      <c r="L135" s="67">
        <f t="shared" si="6"/>
        <v>0</v>
      </c>
    </row>
    <row r="136" spans="1:12" collapsed="1" x14ac:dyDescent="0.35">
      <c r="A136" s="37"/>
      <c r="B136" s="62" t="s">
        <v>898</v>
      </c>
      <c r="C136" s="54"/>
      <c r="D136" s="84">
        <f>('R2023'!D136+'R2022'!D136+'R2021'!D136)/3</f>
        <v>0</v>
      </c>
      <c r="E136" s="84">
        <f>('R2023'!E136+'R2022'!E136+'R2021'!E136)/3</f>
        <v>0</v>
      </c>
      <c r="F136" s="84">
        <f>('R2023'!F136+'R2022'!F136+'R2021'!F136)/3</f>
        <v>0</v>
      </c>
      <c r="G136" s="84">
        <f>('R2023'!G136+'R2022'!G136+'R2021'!G136)/3</f>
        <v>0</v>
      </c>
      <c r="H136" s="84">
        <f>('R2023'!H136+'R2022'!H136+'R2021'!H136)/3</f>
        <v>0</v>
      </c>
      <c r="I136" s="84">
        <f>('R2023'!I136+'R2022'!I136+'R2021'!I136)/3</f>
        <v>0</v>
      </c>
      <c r="J136" s="71"/>
      <c r="K136" s="84">
        <f t="shared" si="5"/>
        <v>0</v>
      </c>
      <c r="L136" s="67">
        <f t="shared" si="6"/>
        <v>0</v>
      </c>
    </row>
    <row r="137" spans="1:12" hidden="1" outlineLevel="1" x14ac:dyDescent="0.35">
      <c r="A137" s="37" t="s">
        <v>231</v>
      </c>
      <c r="B137" s="62" t="s">
        <v>232</v>
      </c>
      <c r="C137" s="54" t="s">
        <v>898</v>
      </c>
      <c r="D137" s="84">
        <f>('R2023'!D137+'R2022'!D137+'R2021'!D137)/3</f>
        <v>0</v>
      </c>
      <c r="E137" s="84">
        <f>('R2023'!E137+'R2022'!E137+'R2021'!E137)/3</f>
        <v>0</v>
      </c>
      <c r="F137" s="84">
        <f>('R2023'!F137+'R2022'!F137+'R2021'!F137)/3</f>
        <v>0</v>
      </c>
      <c r="G137" s="84">
        <f>('R2023'!G137+'R2022'!G137+'R2021'!G137)/3</f>
        <v>0</v>
      </c>
      <c r="H137" s="84">
        <f>('R2023'!H137+'R2022'!H137+'R2021'!H137)/3</f>
        <v>0</v>
      </c>
      <c r="I137" s="84">
        <f>('R2023'!I137+'R2022'!I137+'R2021'!I137)/3</f>
        <v>0</v>
      </c>
      <c r="J137" s="71"/>
      <c r="K137" s="84">
        <f t="shared" si="5"/>
        <v>0</v>
      </c>
      <c r="L137" s="67">
        <f t="shared" si="6"/>
        <v>0</v>
      </c>
    </row>
    <row r="138" spans="1:12" hidden="1" outlineLevel="1" x14ac:dyDescent="0.35">
      <c r="A138" s="37" t="s">
        <v>233</v>
      </c>
      <c r="B138" s="62" t="s">
        <v>234</v>
      </c>
      <c r="C138" s="54" t="s">
        <v>898</v>
      </c>
      <c r="D138" s="84">
        <f>('R2023'!D138+'R2022'!D138+'R2021'!D138)/3</f>
        <v>0</v>
      </c>
      <c r="E138" s="84">
        <f>('R2023'!E138+'R2022'!E138+'R2021'!E138)/3</f>
        <v>0</v>
      </c>
      <c r="F138" s="84">
        <f>('R2023'!F138+'R2022'!F138+'R2021'!F138)/3</f>
        <v>0</v>
      </c>
      <c r="G138" s="84">
        <f>('R2023'!G138+'R2022'!G138+'R2021'!G138)/3</f>
        <v>0</v>
      </c>
      <c r="H138" s="84">
        <f>('R2023'!H138+'R2022'!H138+'R2021'!H138)/3</f>
        <v>0</v>
      </c>
      <c r="I138" s="84">
        <f>('R2023'!I138+'R2022'!I138+'R2021'!I138)/3</f>
        <v>0</v>
      </c>
      <c r="J138" s="71"/>
      <c r="K138" s="84">
        <f t="shared" si="5"/>
        <v>0</v>
      </c>
      <c r="L138" s="67">
        <f t="shared" si="6"/>
        <v>0</v>
      </c>
    </row>
    <row r="139" spans="1:12" hidden="1" outlineLevel="1" x14ac:dyDescent="0.35">
      <c r="A139" s="37" t="s">
        <v>235</v>
      </c>
      <c r="B139" s="62" t="s">
        <v>236</v>
      </c>
      <c r="C139" s="54" t="s">
        <v>898</v>
      </c>
      <c r="D139" s="84">
        <f>('R2023'!D139+'R2022'!D139+'R2021'!D139)/3</f>
        <v>0</v>
      </c>
      <c r="E139" s="84">
        <f>('R2023'!E139+'R2022'!E139+'R2021'!E139)/3</f>
        <v>0</v>
      </c>
      <c r="F139" s="84">
        <f>('R2023'!F139+'R2022'!F139+'R2021'!F139)/3</f>
        <v>0</v>
      </c>
      <c r="G139" s="84">
        <f>('R2023'!G139+'R2022'!G139+'R2021'!G139)/3</f>
        <v>0</v>
      </c>
      <c r="H139" s="84">
        <f>('R2023'!H139+'R2022'!H139+'R2021'!H139)/3</f>
        <v>0</v>
      </c>
      <c r="I139" s="84">
        <f>('R2023'!I139+'R2022'!I139+'R2021'!I139)/3</f>
        <v>0</v>
      </c>
      <c r="J139" s="71"/>
      <c r="K139" s="84">
        <f t="shared" si="5"/>
        <v>0</v>
      </c>
      <c r="L139" s="67">
        <f t="shared" si="6"/>
        <v>0</v>
      </c>
    </row>
    <row r="140" spans="1:12" hidden="1" outlineLevel="1" x14ac:dyDescent="0.35">
      <c r="A140" s="37" t="s">
        <v>237</v>
      </c>
      <c r="B140" s="62" t="s">
        <v>238</v>
      </c>
      <c r="C140" s="54" t="s">
        <v>898</v>
      </c>
      <c r="D140" s="84">
        <f>('R2023'!D140+'R2022'!D140+'R2021'!D140)/3</f>
        <v>0</v>
      </c>
      <c r="E140" s="84">
        <f>('R2023'!E140+'R2022'!E140+'R2021'!E140)/3</f>
        <v>0</v>
      </c>
      <c r="F140" s="84">
        <f>('R2023'!F140+'R2022'!F140+'R2021'!F140)/3</f>
        <v>0</v>
      </c>
      <c r="G140" s="84">
        <f>('R2023'!G140+'R2022'!G140+'R2021'!G140)/3</f>
        <v>0</v>
      </c>
      <c r="H140" s="84">
        <f>('R2023'!H140+'R2022'!H140+'R2021'!H140)/3</f>
        <v>0</v>
      </c>
      <c r="I140" s="84">
        <f>('R2023'!I140+'R2022'!I140+'R2021'!I140)/3</f>
        <v>0</v>
      </c>
      <c r="J140" s="71"/>
      <c r="K140" s="84">
        <f t="shared" si="5"/>
        <v>0</v>
      </c>
      <c r="L140" s="67">
        <f t="shared" si="6"/>
        <v>0</v>
      </c>
    </row>
    <row r="141" spans="1:12" hidden="1" outlineLevel="1" x14ac:dyDescent="0.35">
      <c r="A141" s="37" t="s">
        <v>239</v>
      </c>
      <c r="B141" s="62" t="s">
        <v>240</v>
      </c>
      <c r="C141" s="54" t="s">
        <v>898</v>
      </c>
      <c r="D141" s="84">
        <f>('R2023'!D141+'R2022'!D141+'R2021'!D141)/3</f>
        <v>0</v>
      </c>
      <c r="E141" s="84">
        <f>('R2023'!E141+'R2022'!E141+'R2021'!E141)/3</f>
        <v>0</v>
      </c>
      <c r="F141" s="84">
        <f>('R2023'!F141+'R2022'!F141+'R2021'!F141)/3</f>
        <v>0</v>
      </c>
      <c r="G141" s="84">
        <f>('R2023'!G141+'R2022'!G141+'R2021'!G141)/3</f>
        <v>0</v>
      </c>
      <c r="H141" s="84">
        <f>('R2023'!H141+'R2022'!H141+'R2021'!H141)/3</f>
        <v>0</v>
      </c>
      <c r="I141" s="84">
        <f>('R2023'!I141+'R2022'!I141+'R2021'!I141)/3</f>
        <v>0</v>
      </c>
      <c r="J141" s="71"/>
      <c r="K141" s="84">
        <f t="shared" si="5"/>
        <v>0</v>
      </c>
      <c r="L141" s="67">
        <f t="shared" si="6"/>
        <v>0</v>
      </c>
    </row>
    <row r="142" spans="1:12" hidden="1" outlineLevel="1" x14ac:dyDescent="0.35">
      <c r="A142" s="37" t="s">
        <v>241</v>
      </c>
      <c r="B142" s="62" t="s">
        <v>242</v>
      </c>
      <c r="C142" s="54" t="s">
        <v>898</v>
      </c>
      <c r="D142" s="84">
        <f>('R2023'!D142+'R2022'!D142+'R2021'!D142)/3</f>
        <v>0</v>
      </c>
      <c r="E142" s="84">
        <f>('R2023'!E142+'R2022'!E142+'R2021'!E142)/3</f>
        <v>0</v>
      </c>
      <c r="F142" s="84">
        <f>('R2023'!F142+'R2022'!F142+'R2021'!F142)/3</f>
        <v>0</v>
      </c>
      <c r="G142" s="84">
        <f>('R2023'!G142+'R2022'!G142+'R2021'!G142)/3</f>
        <v>0</v>
      </c>
      <c r="H142" s="84">
        <f>('R2023'!H142+'R2022'!H142+'R2021'!H142)/3</f>
        <v>0</v>
      </c>
      <c r="I142" s="84">
        <f>('R2023'!I142+'R2022'!I142+'R2021'!I142)/3</f>
        <v>0</v>
      </c>
      <c r="J142" s="71"/>
      <c r="K142" s="84">
        <f t="shared" si="5"/>
        <v>0</v>
      </c>
      <c r="L142" s="67">
        <f t="shared" si="6"/>
        <v>0</v>
      </c>
    </row>
    <row r="143" spans="1:12" collapsed="1" x14ac:dyDescent="0.35">
      <c r="A143" s="37"/>
      <c r="B143" s="62" t="s">
        <v>897</v>
      </c>
      <c r="C143" s="54"/>
      <c r="D143" s="84">
        <f>('R2023'!D143+'R2022'!D143+'R2021'!D143)/3</f>
        <v>0</v>
      </c>
      <c r="E143" s="84">
        <f>('R2023'!E143+'R2022'!E143+'R2021'!E143)/3</f>
        <v>0</v>
      </c>
      <c r="F143" s="84">
        <f>('R2023'!F143+'R2022'!F143+'R2021'!F143)/3</f>
        <v>0</v>
      </c>
      <c r="G143" s="84">
        <f>('R2023'!G143+'R2022'!G143+'R2021'!G143)/3</f>
        <v>0</v>
      </c>
      <c r="H143" s="84">
        <f>('R2023'!H143+'R2022'!H143+'R2021'!H143)/3</f>
        <v>0</v>
      </c>
      <c r="I143" s="84">
        <f>('R2023'!I143+'R2022'!I143+'R2021'!I143)/3</f>
        <v>0</v>
      </c>
      <c r="J143" s="71"/>
      <c r="K143" s="84">
        <f t="shared" si="5"/>
        <v>0</v>
      </c>
      <c r="L143" s="67">
        <f t="shared" si="6"/>
        <v>0</v>
      </c>
    </row>
    <row r="144" spans="1:12" hidden="1" outlineLevel="1" x14ac:dyDescent="0.35">
      <c r="A144" s="37" t="s">
        <v>243</v>
      </c>
      <c r="B144" s="62" t="s">
        <v>244</v>
      </c>
      <c r="C144" s="54" t="s">
        <v>897</v>
      </c>
      <c r="D144" s="84">
        <f>('R2023'!D144+'R2022'!D144+'R2021'!D144)/3</f>
        <v>0</v>
      </c>
      <c r="E144" s="84">
        <f>('R2023'!E144+'R2022'!E144+'R2021'!E144)/3</f>
        <v>0</v>
      </c>
      <c r="F144" s="84">
        <f>('R2023'!F144+'R2022'!F144+'R2021'!F144)/3</f>
        <v>0</v>
      </c>
      <c r="G144" s="84">
        <f>('R2023'!G144+'R2022'!G144+'R2021'!G144)/3</f>
        <v>0</v>
      </c>
      <c r="H144" s="84">
        <f>('R2023'!H144+'R2022'!H144+'R2021'!H144)/3</f>
        <v>0</v>
      </c>
      <c r="I144" s="84">
        <f>('R2023'!I144+'R2022'!I144+'R2021'!I144)/3</f>
        <v>0</v>
      </c>
      <c r="J144" s="71">
        <f t="shared" ref="J144:J145" si="7">D144+E144+F144+G144+H144</f>
        <v>0</v>
      </c>
      <c r="K144" s="84">
        <f t="shared" si="5"/>
        <v>0</v>
      </c>
      <c r="L144" s="67">
        <f t="shared" si="6"/>
        <v>0</v>
      </c>
    </row>
    <row r="145" spans="1:12" hidden="1" outlineLevel="1" x14ac:dyDescent="0.35">
      <c r="A145" s="37" t="s">
        <v>245</v>
      </c>
      <c r="B145" s="62" t="s">
        <v>246</v>
      </c>
      <c r="C145" s="54" t="s">
        <v>897</v>
      </c>
      <c r="D145" s="84">
        <f>('R2023'!D145+'R2022'!D145+'R2021'!D145)/3</f>
        <v>0</v>
      </c>
      <c r="E145" s="84">
        <f>('R2023'!E145+'R2022'!E145+'R2021'!E145)/3</f>
        <v>0</v>
      </c>
      <c r="F145" s="84">
        <f>('R2023'!F145+'R2022'!F145+'R2021'!F145)/3</f>
        <v>0</v>
      </c>
      <c r="G145" s="84">
        <f>('R2023'!G145+'R2022'!G145+'R2021'!G145)/3</f>
        <v>0</v>
      </c>
      <c r="H145" s="84">
        <f>('R2023'!H145+'R2022'!H145+'R2021'!H145)/3</f>
        <v>0</v>
      </c>
      <c r="I145" s="84">
        <f>('R2023'!I145+'R2022'!I145+'R2021'!I145)/3</f>
        <v>0</v>
      </c>
      <c r="J145" s="71">
        <f t="shared" si="7"/>
        <v>0</v>
      </c>
      <c r="K145" s="84">
        <f t="shared" si="5"/>
        <v>0</v>
      </c>
      <c r="L145" s="67">
        <f t="shared" si="6"/>
        <v>0</v>
      </c>
    </row>
    <row r="146" spans="1:12" collapsed="1" x14ac:dyDescent="0.35">
      <c r="A146" s="37" t="s">
        <v>247</v>
      </c>
      <c r="B146" s="62" t="s">
        <v>248</v>
      </c>
      <c r="C146" s="54" t="s">
        <v>248</v>
      </c>
      <c r="D146" s="84">
        <f>('R2023'!D146+'R2022'!D146+'R2021'!D146)/3</f>
        <v>0</v>
      </c>
      <c r="E146" s="84">
        <f>('R2023'!E146+'R2022'!E146+'R2021'!E146)/3</f>
        <v>3838.6666666666665</v>
      </c>
      <c r="F146" s="84">
        <f>('R2023'!F146+'R2022'!F146+'R2021'!F146)/3</f>
        <v>156588.33333333334</v>
      </c>
      <c r="G146" s="84">
        <f>('R2023'!G146+'R2022'!G146+'R2021'!G146)/3</f>
        <v>149196.33333333334</v>
      </c>
      <c r="H146" s="84">
        <f>('R2023'!H146+'R2022'!H146+'R2021'!H146)/3</f>
        <v>106877.66666666667</v>
      </c>
      <c r="I146" s="84">
        <f>('R2023'!I146+'R2022'!I146+'R2021'!I146)/3</f>
        <v>15313.666666666666</v>
      </c>
      <c r="J146" s="71"/>
      <c r="K146" s="84">
        <f t="shared" si="5"/>
        <v>15313.666666666666</v>
      </c>
      <c r="L146" s="67">
        <f t="shared" si="6"/>
        <v>431814.66666666669</v>
      </c>
    </row>
    <row r="147" spans="1:12" collapsed="1" x14ac:dyDescent="0.35">
      <c r="A147" s="37"/>
      <c r="B147" s="62" t="s">
        <v>868</v>
      </c>
      <c r="C147" s="54"/>
      <c r="D147" s="84">
        <f>('R2023'!D147+'R2022'!D147+'R2021'!D147)/3</f>
        <v>0</v>
      </c>
      <c r="E147" s="84">
        <f>('R2023'!E147+'R2022'!E147+'R2021'!E147)/3</f>
        <v>0</v>
      </c>
      <c r="F147" s="84">
        <f>('R2023'!F147+'R2022'!F147+'R2021'!F147)/3</f>
        <v>0</v>
      </c>
      <c r="G147" s="84">
        <f>('R2023'!G147+'R2022'!G147+'R2021'!G147)/3</f>
        <v>0</v>
      </c>
      <c r="H147" s="84">
        <f>('R2023'!H147+'R2022'!H147+'R2021'!H147)/3</f>
        <v>0</v>
      </c>
      <c r="I147" s="84">
        <f>('R2023'!I147+'R2022'!I147+'R2021'!I147)/3</f>
        <v>0</v>
      </c>
      <c r="J147" s="71"/>
      <c r="K147" s="84">
        <f t="shared" si="5"/>
        <v>0</v>
      </c>
      <c r="L147" s="67">
        <f t="shared" si="6"/>
        <v>0</v>
      </c>
    </row>
    <row r="148" spans="1:12" hidden="1" outlineLevel="1" x14ac:dyDescent="0.35">
      <c r="A148" s="37" t="s">
        <v>249</v>
      </c>
      <c r="B148" s="62" t="s">
        <v>250</v>
      </c>
      <c r="C148" s="54" t="s">
        <v>868</v>
      </c>
      <c r="D148" s="84">
        <f>('R2023'!D148+'R2022'!D148+'R2021'!D148)/3</f>
        <v>0</v>
      </c>
      <c r="E148" s="84">
        <f>('R2023'!E148+'R2022'!E148+'R2021'!E148)/3</f>
        <v>0</v>
      </c>
      <c r="F148" s="84">
        <f>('R2023'!F148+'R2022'!F148+'R2021'!F148)/3</f>
        <v>0</v>
      </c>
      <c r="G148" s="84">
        <f>('R2023'!G148+'R2022'!G148+'R2021'!G148)/3</f>
        <v>0</v>
      </c>
      <c r="H148" s="84">
        <f>('R2023'!H148+'R2022'!H148+'R2021'!H148)/3</f>
        <v>0</v>
      </c>
      <c r="I148" s="84">
        <f>('R2023'!I148+'R2022'!I148+'R2021'!I148)/3</f>
        <v>0</v>
      </c>
      <c r="J148" s="71"/>
      <c r="K148" s="84">
        <f t="shared" si="5"/>
        <v>0</v>
      </c>
      <c r="L148" s="67">
        <f t="shared" si="6"/>
        <v>0</v>
      </c>
    </row>
    <row r="149" spans="1:12" hidden="1" outlineLevel="1" x14ac:dyDescent="0.35">
      <c r="A149" s="37" t="s">
        <v>251</v>
      </c>
      <c r="B149" s="62" t="s">
        <v>252</v>
      </c>
      <c r="C149" s="54" t="s">
        <v>868</v>
      </c>
      <c r="D149" s="84">
        <f>('R2023'!D149+'R2022'!D149+'R2021'!D149)/3</f>
        <v>0</v>
      </c>
      <c r="E149" s="84">
        <f>('R2023'!E149+'R2022'!E149+'R2021'!E149)/3</f>
        <v>0</v>
      </c>
      <c r="F149" s="84">
        <f>('R2023'!F149+'R2022'!F149+'R2021'!F149)/3</f>
        <v>0</v>
      </c>
      <c r="G149" s="84">
        <f>('R2023'!G149+'R2022'!G149+'R2021'!G149)/3</f>
        <v>0</v>
      </c>
      <c r="H149" s="84">
        <f>('R2023'!H149+'R2022'!H149+'R2021'!H149)/3</f>
        <v>0</v>
      </c>
      <c r="I149" s="84">
        <f>('R2023'!I149+'R2022'!I149+'R2021'!I149)/3</f>
        <v>0</v>
      </c>
      <c r="J149" s="71"/>
      <c r="K149" s="84">
        <f t="shared" si="5"/>
        <v>0</v>
      </c>
      <c r="L149" s="67">
        <f t="shared" si="6"/>
        <v>0</v>
      </c>
    </row>
    <row r="150" spans="1:12" hidden="1" outlineLevel="1" x14ac:dyDescent="0.35">
      <c r="A150" s="37" t="s">
        <v>253</v>
      </c>
      <c r="B150" s="62" t="s">
        <v>254</v>
      </c>
      <c r="C150" s="54" t="s">
        <v>868</v>
      </c>
      <c r="D150" s="84">
        <f>('R2023'!D150+'R2022'!D150+'R2021'!D150)/3</f>
        <v>0</v>
      </c>
      <c r="E150" s="84">
        <f>('R2023'!E150+'R2022'!E150+'R2021'!E150)/3</f>
        <v>0</v>
      </c>
      <c r="F150" s="84">
        <f>('R2023'!F150+'R2022'!F150+'R2021'!F150)/3</f>
        <v>0</v>
      </c>
      <c r="G150" s="84">
        <f>('R2023'!G150+'R2022'!G150+'R2021'!G150)/3</f>
        <v>0</v>
      </c>
      <c r="H150" s="84">
        <f>('R2023'!H150+'R2022'!H150+'R2021'!H150)/3</f>
        <v>0</v>
      </c>
      <c r="I150" s="84">
        <f>('R2023'!I150+'R2022'!I150+'R2021'!I150)/3</f>
        <v>0</v>
      </c>
      <c r="J150" s="71"/>
      <c r="K150" s="84">
        <f t="shared" si="5"/>
        <v>0</v>
      </c>
      <c r="L150" s="67">
        <f t="shared" si="6"/>
        <v>0</v>
      </c>
    </row>
    <row r="151" spans="1:12" collapsed="1" x14ac:dyDescent="0.35">
      <c r="A151" s="37"/>
      <c r="B151" s="62" t="s">
        <v>899</v>
      </c>
      <c r="C151" s="54"/>
      <c r="D151" s="84">
        <f>('R2023'!D151+'R2022'!D151+'R2021'!D151)/3</f>
        <v>0</v>
      </c>
      <c r="E151" s="84">
        <f>('R2023'!E151+'R2022'!E151+'R2021'!E151)/3</f>
        <v>0</v>
      </c>
      <c r="F151" s="84">
        <f>('R2023'!F151+'R2022'!F151+'R2021'!F151)/3</f>
        <v>68230.333333333328</v>
      </c>
      <c r="G151" s="84">
        <f>('R2023'!G151+'R2022'!G151+'R2021'!G151)/3</f>
        <v>16670.666666666668</v>
      </c>
      <c r="H151" s="84">
        <f>('R2023'!H151+'R2022'!H151+'R2021'!H151)/3</f>
        <v>70883.666666666672</v>
      </c>
      <c r="I151" s="84">
        <f>('R2023'!I151+'R2022'!I151+'R2021'!I151)/3</f>
        <v>33473</v>
      </c>
      <c r="J151" s="71"/>
      <c r="K151" s="84">
        <f t="shared" si="5"/>
        <v>33473</v>
      </c>
      <c r="L151" s="67">
        <f t="shared" si="6"/>
        <v>189257.66666666669</v>
      </c>
    </row>
    <row r="152" spans="1:12" hidden="1" outlineLevel="1" x14ac:dyDescent="0.35">
      <c r="A152" s="37" t="s">
        <v>255</v>
      </c>
      <c r="B152" s="62" t="s">
        <v>256</v>
      </c>
      <c r="C152" s="54" t="s">
        <v>899</v>
      </c>
      <c r="D152" s="84">
        <f>('R2023'!D152+'R2022'!D152+'R2021'!D152)/3</f>
        <v>0</v>
      </c>
      <c r="E152" s="84">
        <f>('R2023'!E152+'R2022'!E152+'R2021'!E152)/3</f>
        <v>0</v>
      </c>
      <c r="F152" s="84">
        <f>('R2023'!F152+'R2022'!F152+'R2021'!F152)/3</f>
        <v>58065</v>
      </c>
      <c r="G152" s="84">
        <f>('R2023'!G152+'R2022'!G152+'R2021'!G152)/3</f>
        <v>28407.666666666668</v>
      </c>
      <c r="H152" s="84">
        <f>('R2023'!H152+'R2022'!H152+'R2021'!H152)/3</f>
        <v>33253</v>
      </c>
      <c r="I152" s="84">
        <f>('R2023'!I152+'R2022'!I152+'R2021'!I152)/3</f>
        <v>16537.333333333332</v>
      </c>
      <c r="J152" s="71"/>
      <c r="K152" s="84">
        <f t="shared" si="5"/>
        <v>16537.333333333332</v>
      </c>
      <c r="L152" s="67">
        <f t="shared" si="6"/>
        <v>136263</v>
      </c>
    </row>
    <row r="153" spans="1:12" hidden="1" outlineLevel="1" x14ac:dyDescent="0.35">
      <c r="A153" s="37" t="s">
        <v>257</v>
      </c>
      <c r="B153" s="62" t="s">
        <v>900</v>
      </c>
      <c r="C153" s="54" t="s">
        <v>899</v>
      </c>
      <c r="D153" s="84">
        <f>('R2023'!D153+'R2022'!D153+'R2021'!D153)/3</f>
        <v>0</v>
      </c>
      <c r="E153" s="84">
        <f>('R2023'!E153+'R2022'!E153+'R2021'!E153)/3</f>
        <v>0</v>
      </c>
      <c r="F153" s="84">
        <f>('R2023'!F153+'R2022'!F153+'R2021'!F153)/3</f>
        <v>0</v>
      </c>
      <c r="G153" s="84">
        <f>('R2023'!G153+'R2022'!G153+'R2021'!G153)/3</f>
        <v>5551.666666666667</v>
      </c>
      <c r="H153" s="84">
        <f>('R2023'!H153+'R2022'!H153+'R2021'!H153)/3</f>
        <v>0</v>
      </c>
      <c r="I153" s="84">
        <f>('R2023'!I154+'R2022'!I153+'R2021'!I153)/3</f>
        <v>0</v>
      </c>
      <c r="J153" s="71"/>
      <c r="K153" s="84">
        <f t="shared" si="5"/>
        <v>0</v>
      </c>
      <c r="L153" s="67">
        <f t="shared" si="6"/>
        <v>5551.666666666667</v>
      </c>
    </row>
    <row r="154" spans="1:12" hidden="1" outlineLevel="1" x14ac:dyDescent="0.35">
      <c r="A154" s="37" t="s">
        <v>259</v>
      </c>
      <c r="B154" s="62" t="s">
        <v>260</v>
      </c>
      <c r="C154" s="54" t="s">
        <v>899</v>
      </c>
      <c r="D154" s="84">
        <f>('R2023'!D154+'R2022'!D154+'R2021'!D154)/3</f>
        <v>0</v>
      </c>
      <c r="E154" s="84">
        <f>('R2023'!E154+'R2022'!E154+'R2021'!E154)/3</f>
        <v>0</v>
      </c>
      <c r="F154" s="84">
        <f>('R2023'!F154+'R2022'!F154+'R2021'!F154)/3</f>
        <v>0</v>
      </c>
      <c r="G154" s="84">
        <f>('R2023'!G154+'R2022'!G154+'R2021'!G154)/3</f>
        <v>0</v>
      </c>
      <c r="H154" s="84">
        <f>('R2023'!H154+'R2022'!H154+'R2021'!H154)/3</f>
        <v>0</v>
      </c>
      <c r="I154" s="84" t="e">
        <f>('R2023'!#REF!+'R2022'!I154+'R2021'!I154)/3</f>
        <v>#REF!</v>
      </c>
      <c r="J154" s="71"/>
      <c r="K154" s="84" t="e">
        <f t="shared" si="5"/>
        <v>#REF!</v>
      </c>
      <c r="L154" s="67" t="e">
        <f t="shared" si="6"/>
        <v>#REF!</v>
      </c>
    </row>
    <row r="155" spans="1:12" hidden="1" outlineLevel="1" x14ac:dyDescent="0.35">
      <c r="A155" s="37" t="s">
        <v>261</v>
      </c>
      <c r="B155" s="62" t="s">
        <v>262</v>
      </c>
      <c r="C155" s="54" t="s">
        <v>899</v>
      </c>
      <c r="D155" s="84">
        <f>('R2023'!D155+'R2022'!D155+'R2021'!D155)/3</f>
        <v>0</v>
      </c>
      <c r="E155" s="84">
        <f>('R2023'!E155+'R2022'!E155+'R2021'!E155)/3</f>
        <v>0</v>
      </c>
      <c r="F155" s="84">
        <f>('R2023'!F155+'R2022'!F155+'R2021'!F155)/3</f>
        <v>0</v>
      </c>
      <c r="G155" s="84">
        <f>('R2023'!G155+'R2022'!G155+'R2021'!G155)/3</f>
        <v>0</v>
      </c>
      <c r="H155" s="84">
        <f>('R2023'!H155+'R2022'!H155+'R2021'!H155)/3</f>
        <v>0</v>
      </c>
      <c r="I155" s="84">
        <f>('R2023'!I155+'R2022'!I155+'R2021'!I155)/3</f>
        <v>0</v>
      </c>
      <c r="J155" s="71"/>
      <c r="K155" s="84">
        <f t="shared" si="5"/>
        <v>0</v>
      </c>
      <c r="L155" s="67">
        <f t="shared" si="6"/>
        <v>0</v>
      </c>
    </row>
    <row r="156" spans="1:12" hidden="1" outlineLevel="1" x14ac:dyDescent="0.35">
      <c r="A156" s="37" t="s">
        <v>263</v>
      </c>
      <c r="B156" s="62" t="s">
        <v>264</v>
      </c>
      <c r="C156" s="54" t="s">
        <v>899</v>
      </c>
      <c r="D156" s="84">
        <f>('R2023'!D156+'R2022'!D156+'R2021'!D156)/3</f>
        <v>0</v>
      </c>
      <c r="E156" s="84">
        <f>('R2023'!E156+'R2022'!E156+'R2021'!E156)/3</f>
        <v>0</v>
      </c>
      <c r="F156" s="84">
        <f>('R2023'!F156+'R2022'!F156+'R2021'!F156)/3</f>
        <v>0</v>
      </c>
      <c r="G156" s="84">
        <f>('R2023'!G156+'R2022'!G156+'R2021'!G156)/3</f>
        <v>0</v>
      </c>
      <c r="H156" s="84">
        <f>('R2023'!H156+'R2022'!H156+'R2021'!H156)/3</f>
        <v>0</v>
      </c>
      <c r="I156" s="84">
        <f>('R2023'!I156+'R2022'!I156+'R2021'!I156)/3</f>
        <v>0</v>
      </c>
      <c r="J156" s="71"/>
      <c r="K156" s="84">
        <f t="shared" si="5"/>
        <v>0</v>
      </c>
      <c r="L156" s="67">
        <f t="shared" si="6"/>
        <v>0</v>
      </c>
    </row>
    <row r="157" spans="1:12" hidden="1" outlineLevel="1" x14ac:dyDescent="0.35">
      <c r="A157" s="37" t="s">
        <v>265</v>
      </c>
      <c r="B157" s="62" t="s">
        <v>266</v>
      </c>
      <c r="C157" s="54" t="s">
        <v>899</v>
      </c>
      <c r="D157" s="84">
        <f>('R2023'!D157+'R2022'!D157+'R2021'!D157)/3</f>
        <v>0</v>
      </c>
      <c r="E157" s="84">
        <f>('R2023'!E157+'R2022'!E157+'R2021'!E157)/3</f>
        <v>0</v>
      </c>
      <c r="F157" s="84">
        <f>('R2023'!F157+'R2022'!F157+'R2021'!F157)/3</f>
        <v>0</v>
      </c>
      <c r="G157" s="84">
        <f>('R2023'!G157+'R2022'!G157+'R2021'!G157)/3</f>
        <v>0</v>
      </c>
      <c r="H157" s="84">
        <f>('R2023'!H157+'R2022'!H157+'R2021'!H157)/3</f>
        <v>0</v>
      </c>
      <c r="I157" s="84">
        <f>('R2023'!I157+'R2022'!I157+'R2021'!I157)/3</f>
        <v>0</v>
      </c>
      <c r="J157" s="71"/>
      <c r="K157" s="84">
        <f t="shared" si="5"/>
        <v>0</v>
      </c>
      <c r="L157" s="67">
        <f t="shared" si="6"/>
        <v>0</v>
      </c>
    </row>
    <row r="158" spans="1:12" hidden="1" outlineLevel="1" x14ac:dyDescent="0.35">
      <c r="A158" s="37" t="s">
        <v>267</v>
      </c>
      <c r="B158" s="62" t="s">
        <v>268</v>
      </c>
      <c r="C158" s="54" t="s">
        <v>899</v>
      </c>
      <c r="D158" s="84">
        <f>('R2023'!D158+'R2022'!D158+'R2021'!D158)/3</f>
        <v>0</v>
      </c>
      <c r="E158" s="84">
        <f>('R2023'!E158+'R2022'!E158+'R2021'!E158)/3</f>
        <v>0</v>
      </c>
      <c r="F158" s="84">
        <f>('R2023'!F158+'R2022'!F158+'R2021'!F158)/3</f>
        <v>0</v>
      </c>
      <c r="G158" s="84">
        <f>('R2023'!G158+'R2022'!G158+'R2021'!G158)/3</f>
        <v>0</v>
      </c>
      <c r="H158" s="84">
        <f>('R2023'!H158+'R2022'!H158+'R2021'!H158)/3</f>
        <v>0</v>
      </c>
      <c r="I158" s="84">
        <f>('R2023'!I158+'R2022'!I158+'R2021'!I158)/3</f>
        <v>0</v>
      </c>
      <c r="J158" s="71"/>
      <c r="K158" s="84">
        <f t="shared" si="5"/>
        <v>0</v>
      </c>
      <c r="L158" s="67">
        <f t="shared" si="6"/>
        <v>0</v>
      </c>
    </row>
    <row r="159" spans="1:12" hidden="1" outlineLevel="1" x14ac:dyDescent="0.35">
      <c r="A159" s="37" t="s">
        <v>269</v>
      </c>
      <c r="B159" s="62" t="s">
        <v>270</v>
      </c>
      <c r="C159" s="54" t="s">
        <v>899</v>
      </c>
      <c r="D159" s="84">
        <f>('R2023'!D159+'R2022'!D159+'R2021'!D159)/3</f>
        <v>0</v>
      </c>
      <c r="E159" s="84">
        <f>('R2023'!E159+'R2022'!E159+'R2021'!E159)/3</f>
        <v>0</v>
      </c>
      <c r="F159" s="84">
        <f>('R2023'!F159+'R2022'!F159+'R2021'!F159)/3</f>
        <v>32508.333333333332</v>
      </c>
      <c r="G159" s="84">
        <f>('R2023'!G159+'R2022'!G159+'R2021'!G159)/3</f>
        <v>0</v>
      </c>
      <c r="H159" s="84">
        <f>('R2023'!H159+'R2022'!H159+'R2021'!H159)/3</f>
        <v>0</v>
      </c>
      <c r="I159" s="84">
        <f>('R2023'!I159+'R2022'!I159+'R2021'!I159)/3</f>
        <v>0</v>
      </c>
      <c r="J159" s="71"/>
      <c r="K159" s="84">
        <f t="shared" si="5"/>
        <v>0</v>
      </c>
      <c r="L159" s="67">
        <f t="shared" si="6"/>
        <v>32508.333333333332</v>
      </c>
    </row>
    <row r="160" spans="1:12" hidden="1" outlineLevel="1" x14ac:dyDescent="0.35">
      <c r="A160" s="37" t="s">
        <v>271</v>
      </c>
      <c r="B160" s="62" t="s">
        <v>272</v>
      </c>
      <c r="C160" s="54" t="s">
        <v>899</v>
      </c>
      <c r="D160" s="84">
        <f>('R2023'!D160+'R2022'!D160+'R2021'!D160)/3</f>
        <v>0</v>
      </c>
      <c r="E160" s="84">
        <f>('R2023'!E160+'R2022'!E160+'R2021'!E160)/3</f>
        <v>0</v>
      </c>
      <c r="F160" s="84">
        <f>('R2023'!F160+'R2022'!F160+'R2021'!F160)/3</f>
        <v>10</v>
      </c>
      <c r="G160" s="84">
        <f>('R2023'!G160+'R2022'!G160+'R2021'!G160)/3</f>
        <v>0</v>
      </c>
      <c r="H160" s="84">
        <f>('R2023'!H160+'R2022'!H160+'R2021'!H160)/3</f>
        <v>0</v>
      </c>
      <c r="I160" s="84">
        <f>('R2023'!I160+'R2022'!I160+'R2021'!I160)/3</f>
        <v>0</v>
      </c>
      <c r="J160" s="71"/>
      <c r="K160" s="84">
        <f t="shared" si="5"/>
        <v>0</v>
      </c>
      <c r="L160" s="67">
        <f t="shared" si="6"/>
        <v>10</v>
      </c>
    </row>
    <row r="161" spans="1:12" hidden="1" outlineLevel="1" x14ac:dyDescent="0.35">
      <c r="A161" s="37" t="s">
        <v>273</v>
      </c>
      <c r="B161" s="62" t="s">
        <v>274</v>
      </c>
      <c r="C161" s="54" t="s">
        <v>899</v>
      </c>
      <c r="D161" s="84">
        <f>('R2023'!D161+'R2022'!D161+'R2021'!D161)/3</f>
        <v>0</v>
      </c>
      <c r="E161" s="84">
        <f>('R2023'!E161+'R2022'!E161+'R2021'!E161)/3</f>
        <v>0</v>
      </c>
      <c r="F161" s="84">
        <f>('R2023'!F161+'R2022'!F161+'R2021'!F161)/3</f>
        <v>0</v>
      </c>
      <c r="G161" s="84">
        <f>('R2023'!G161+'R2022'!G161+'R2021'!G161)/3</f>
        <v>0</v>
      </c>
      <c r="H161" s="84">
        <f>('R2023'!H161+'R2022'!H161+'R2021'!H161)/3</f>
        <v>0</v>
      </c>
      <c r="I161" s="84">
        <f>('R2023'!I161+'R2022'!I161+'R2021'!I161)/3</f>
        <v>0</v>
      </c>
      <c r="J161" s="71"/>
      <c r="K161" s="84">
        <f t="shared" si="5"/>
        <v>0</v>
      </c>
      <c r="L161" s="67">
        <f t="shared" si="6"/>
        <v>0</v>
      </c>
    </row>
    <row r="162" spans="1:12" hidden="1" outlineLevel="1" x14ac:dyDescent="0.35">
      <c r="A162" s="37" t="s">
        <v>275</v>
      </c>
      <c r="B162" s="62" t="s">
        <v>276</v>
      </c>
      <c r="C162" s="54" t="s">
        <v>899</v>
      </c>
      <c r="D162" s="84">
        <f>('R2023'!D162+'R2022'!D162+'R2021'!D162)/3</f>
        <v>0</v>
      </c>
      <c r="E162" s="84">
        <f>('R2023'!E162+'R2022'!E162+'R2021'!E162)/3</f>
        <v>0</v>
      </c>
      <c r="F162" s="84">
        <f>('R2023'!F162+'R2022'!F162+'R2021'!F162)/3</f>
        <v>15701</v>
      </c>
      <c r="G162" s="84">
        <f>('R2023'!G162+'R2022'!G162+'R2021'!G162)/3</f>
        <v>0</v>
      </c>
      <c r="H162" s="84">
        <f>('R2023'!H162+'R2022'!H162+'R2021'!H162)/3</f>
        <v>0</v>
      </c>
      <c r="I162" s="84">
        <f>('R2023'!I162+'R2022'!I162+'R2021'!I162)/3</f>
        <v>0</v>
      </c>
      <c r="J162" s="71"/>
      <c r="K162" s="84">
        <f t="shared" si="5"/>
        <v>0</v>
      </c>
      <c r="L162" s="67">
        <f t="shared" si="6"/>
        <v>15701</v>
      </c>
    </row>
    <row r="163" spans="1:12" hidden="1" outlineLevel="1" x14ac:dyDescent="0.35">
      <c r="A163" s="37" t="s">
        <v>277</v>
      </c>
      <c r="B163" s="62" t="s">
        <v>278</v>
      </c>
      <c r="C163" s="54" t="s">
        <v>899</v>
      </c>
      <c r="D163" s="84">
        <f>('R2023'!D163+'R2022'!D163+'R2021'!D163)/3</f>
        <v>0</v>
      </c>
      <c r="E163" s="84">
        <f>('R2023'!E163+'R2022'!E163+'R2021'!E163)/3</f>
        <v>0</v>
      </c>
      <c r="F163" s="84">
        <f>('R2023'!F163+'R2022'!F163+'R2021'!F163)/3</f>
        <v>-95627</v>
      </c>
      <c r="G163" s="84">
        <f>('R2023'!G163+'R2022'!G163+'R2021'!G163)/3</f>
        <v>0</v>
      </c>
      <c r="H163" s="84">
        <f>('R2023'!H163+'R2022'!H163+'R2021'!H163)/3</f>
        <v>0</v>
      </c>
      <c r="I163" s="84">
        <f>('R2023'!I163+'R2022'!I163+'R2021'!I163)/3</f>
        <v>0</v>
      </c>
      <c r="J163" s="71"/>
      <c r="K163" s="84">
        <f t="shared" si="5"/>
        <v>0</v>
      </c>
      <c r="L163" s="67">
        <f t="shared" si="6"/>
        <v>-95627</v>
      </c>
    </row>
    <row r="164" spans="1:12" hidden="1" outlineLevel="1" x14ac:dyDescent="0.35">
      <c r="A164" s="37" t="s">
        <v>279</v>
      </c>
      <c r="B164" s="62" t="s">
        <v>280</v>
      </c>
      <c r="C164" s="54" t="s">
        <v>899</v>
      </c>
      <c r="D164" s="84">
        <f>('R2023'!D164+'R2022'!D164+'R2021'!D164)/3</f>
        <v>0</v>
      </c>
      <c r="E164" s="84">
        <f>('R2023'!E164+'R2022'!E164+'R2021'!E164)/3</f>
        <v>0</v>
      </c>
      <c r="F164" s="84">
        <f>('R2023'!F164+'R2022'!F164+'R2021'!F164)/3</f>
        <v>-10</v>
      </c>
      <c r="G164" s="84">
        <f>('R2023'!G164+'R2022'!G164+'R2021'!G164)/3</f>
        <v>0</v>
      </c>
      <c r="H164" s="84">
        <f>('R2023'!H164+'R2022'!H164+'R2021'!H164)/3</f>
        <v>0</v>
      </c>
      <c r="I164" s="84">
        <f>('R2023'!I164+'R2022'!I164+'R2021'!I164)/3</f>
        <v>0</v>
      </c>
      <c r="J164" s="71"/>
      <c r="K164" s="84">
        <f t="shared" si="5"/>
        <v>0</v>
      </c>
      <c r="L164" s="67">
        <f t="shared" si="6"/>
        <v>-10</v>
      </c>
    </row>
    <row r="165" spans="1:12" hidden="1" outlineLevel="1" x14ac:dyDescent="0.35">
      <c r="A165" s="37" t="s">
        <v>281</v>
      </c>
      <c r="B165" s="62" t="s">
        <v>282</v>
      </c>
      <c r="C165" s="54" t="s">
        <v>899</v>
      </c>
      <c r="D165" s="84">
        <f>('R2023'!D165+'R2022'!D165+'R2021'!D165)/3</f>
        <v>0</v>
      </c>
      <c r="E165" s="84">
        <f>('R2023'!E165+'R2022'!E165+'R2021'!E165)/3</f>
        <v>0</v>
      </c>
      <c r="F165" s="84">
        <f>('R2023'!F165+'R2022'!F165+'R2021'!F165)/3</f>
        <v>0</v>
      </c>
      <c r="G165" s="84">
        <f>('R2023'!G165+'R2022'!G165+'R2021'!G165)/3</f>
        <v>0</v>
      </c>
      <c r="H165" s="84">
        <f>('R2023'!H165+'R2022'!H165+'R2021'!H165)/3</f>
        <v>0</v>
      </c>
      <c r="I165" s="84">
        <f>('R2023'!I165+'R2022'!I165+'R2021'!I165)/3</f>
        <v>0</v>
      </c>
      <c r="J165" s="71"/>
      <c r="K165" s="84">
        <f t="shared" si="5"/>
        <v>0</v>
      </c>
      <c r="L165" s="67">
        <f t="shared" si="6"/>
        <v>0</v>
      </c>
    </row>
    <row r="166" spans="1:12" hidden="1" outlineLevel="1" x14ac:dyDescent="0.35">
      <c r="A166" s="37" t="s">
        <v>283</v>
      </c>
      <c r="B166" s="62" t="s">
        <v>284</v>
      </c>
      <c r="C166" s="54" t="s">
        <v>899</v>
      </c>
      <c r="D166" s="84">
        <f>('R2023'!D166+'R2022'!D166+'R2021'!D166)/3</f>
        <v>0</v>
      </c>
      <c r="E166" s="84">
        <f>('R2023'!E166+'R2022'!E166+'R2021'!E166)/3</f>
        <v>0</v>
      </c>
      <c r="F166" s="84">
        <f>('R2023'!F166+'R2022'!F166+'R2021'!F166)/3</f>
        <v>-1840.3333333333333</v>
      </c>
      <c r="G166" s="84">
        <f>('R2023'!G166+'R2022'!G166+'R2021'!G166)/3</f>
        <v>0</v>
      </c>
      <c r="H166" s="84">
        <f>('R2023'!H166+'R2022'!H166+'R2021'!H166)/3</f>
        <v>0</v>
      </c>
      <c r="I166" s="84">
        <f>('R2023'!I166+'R2022'!I166+'R2021'!I166)/3</f>
        <v>0</v>
      </c>
      <c r="J166" s="71"/>
      <c r="K166" s="84">
        <f t="shared" si="5"/>
        <v>0</v>
      </c>
      <c r="L166" s="67">
        <f t="shared" si="6"/>
        <v>-1840.3333333333333</v>
      </c>
    </row>
    <row r="167" spans="1:12" hidden="1" outlineLevel="1" x14ac:dyDescent="0.35">
      <c r="A167" s="37" t="s">
        <v>285</v>
      </c>
      <c r="B167" s="62" t="s">
        <v>286</v>
      </c>
      <c r="C167" s="54" t="s">
        <v>899</v>
      </c>
      <c r="D167" s="84">
        <f>('R2023'!D167+'R2022'!D167+'R2021'!D167)/3</f>
        <v>0</v>
      </c>
      <c r="E167" s="84">
        <f>('R2023'!E167+'R2022'!E167+'R2021'!E167)/3</f>
        <v>0</v>
      </c>
      <c r="F167" s="84">
        <f>('R2023'!F167+'R2022'!F167+'R2021'!F167)/3</f>
        <v>0</v>
      </c>
      <c r="G167" s="84">
        <f>('R2023'!G167+'R2022'!G167+'R2021'!G167)/3</f>
        <v>-53762</v>
      </c>
      <c r="H167" s="84">
        <f>('R2023'!H167+'R2022'!H167+'R2021'!H167)/3</f>
        <v>0</v>
      </c>
      <c r="I167" s="84">
        <f>('R2023'!I167+'R2022'!I167+'R2021'!I167)/3</f>
        <v>0</v>
      </c>
      <c r="J167" s="71"/>
      <c r="K167" s="84">
        <f t="shared" si="5"/>
        <v>0</v>
      </c>
      <c r="L167" s="67">
        <f t="shared" si="6"/>
        <v>-53762</v>
      </c>
    </row>
    <row r="168" spans="1:12" hidden="1" outlineLevel="1" x14ac:dyDescent="0.35">
      <c r="A168" s="37" t="s">
        <v>287</v>
      </c>
      <c r="B168" s="62" t="s">
        <v>288</v>
      </c>
      <c r="C168" s="54" t="s">
        <v>899</v>
      </c>
      <c r="D168" s="84">
        <f>('R2023'!D168+'R2022'!D168+'R2021'!D168)/3</f>
        <v>0</v>
      </c>
      <c r="E168" s="84">
        <f>('R2023'!E168+'R2022'!E168+'R2021'!E168)/3</f>
        <v>0</v>
      </c>
      <c r="F168" s="84">
        <f>('R2023'!F168+'R2022'!F168+'R2021'!F168)/3</f>
        <v>33818.333333333336</v>
      </c>
      <c r="G168" s="84">
        <f>('R2023'!G168+'R2022'!G168+'R2021'!G168)/3</f>
        <v>21691.666666666668</v>
      </c>
      <c r="H168" s="84">
        <f>('R2023'!H168+'R2022'!H168+'R2021'!H168)/3</f>
        <v>17697.666666666668</v>
      </c>
      <c r="I168" s="84">
        <f>('R2023'!I168+'R2022'!I168+'R2021'!I168)/3</f>
        <v>9268</v>
      </c>
      <c r="J168" s="71"/>
      <c r="K168" s="84">
        <f t="shared" si="5"/>
        <v>9268</v>
      </c>
      <c r="L168" s="67">
        <f t="shared" si="6"/>
        <v>82475.666666666672</v>
      </c>
    </row>
    <row r="169" spans="1:12" hidden="1" outlineLevel="1" x14ac:dyDescent="0.35">
      <c r="A169" s="37" t="s">
        <v>289</v>
      </c>
      <c r="B169" s="62" t="s">
        <v>290</v>
      </c>
      <c r="C169" s="54" t="s">
        <v>899</v>
      </c>
      <c r="D169" s="84">
        <f>('R2023'!D169+'R2022'!D169+'R2021'!D169)/3</f>
        <v>0</v>
      </c>
      <c r="E169" s="84">
        <f>('R2023'!E169+'R2022'!E169+'R2021'!E169)/3</f>
        <v>0</v>
      </c>
      <c r="F169" s="84">
        <f>('R2023'!F169+'R2022'!F169+'R2021'!F169)/3</f>
        <v>7173.333333333333</v>
      </c>
      <c r="G169" s="84">
        <f>('R2023'!G169+'R2022'!G169+'R2021'!G169)/3</f>
        <v>0</v>
      </c>
      <c r="H169" s="84">
        <f>('R2023'!H169+'R2022'!H169+'R2021'!H169)/3</f>
        <v>0</v>
      </c>
      <c r="I169" s="84">
        <f>('R2023'!I169+'R2022'!I169+'R2021'!I169)/3</f>
        <v>0</v>
      </c>
      <c r="J169" s="71"/>
      <c r="K169" s="84">
        <f t="shared" si="5"/>
        <v>0</v>
      </c>
      <c r="L169" s="67">
        <f t="shared" si="6"/>
        <v>7173.333333333333</v>
      </c>
    </row>
    <row r="170" spans="1:12" hidden="1" outlineLevel="1" x14ac:dyDescent="0.35">
      <c r="A170" s="37" t="s">
        <v>291</v>
      </c>
      <c r="B170" s="62" t="s">
        <v>292</v>
      </c>
      <c r="C170" s="54" t="s">
        <v>899</v>
      </c>
      <c r="D170" s="84">
        <f>('R2023'!D170+'R2022'!D170+'R2021'!D170)/3</f>
        <v>0</v>
      </c>
      <c r="E170" s="84">
        <f>('R2023'!E170+'R2022'!E170+'R2021'!E170)/3</f>
        <v>0</v>
      </c>
      <c r="F170" s="84">
        <f>('R2023'!F170+'R2022'!F170+'R2021'!F170)/3</f>
        <v>18431.666666666668</v>
      </c>
      <c r="G170" s="84">
        <f>('R2023'!G170+'R2022'!G170+'R2021'!G170)/3</f>
        <v>14781.666666666666</v>
      </c>
      <c r="H170" s="84">
        <f>('R2023'!H170+'R2022'!H170+'R2021'!H170)/3</f>
        <v>19933</v>
      </c>
      <c r="I170" s="84">
        <f>('R2023'!I170+'R2022'!I170+'R2021'!I170)/3</f>
        <v>7667.666666666667</v>
      </c>
      <c r="J170" s="71"/>
      <c r="K170" s="84">
        <f t="shared" si="5"/>
        <v>7667.666666666667</v>
      </c>
      <c r="L170" s="67">
        <f t="shared" si="6"/>
        <v>60814</v>
      </c>
    </row>
    <row r="171" spans="1:12" hidden="1" outlineLevel="1" x14ac:dyDescent="0.35">
      <c r="A171" s="37" t="s">
        <v>293</v>
      </c>
      <c r="B171" s="62" t="s">
        <v>294</v>
      </c>
      <c r="C171" s="54" t="s">
        <v>899</v>
      </c>
      <c r="D171" s="84">
        <f>('R2023'!D171+'R2022'!D171+'R2021'!D171)/3</f>
        <v>0</v>
      </c>
      <c r="E171" s="84">
        <f>('R2023'!E171+'R2022'!E171+'R2021'!E171)/3</f>
        <v>0</v>
      </c>
      <c r="F171" s="84">
        <f>('R2023'!F171+'R2022'!F171+'R2021'!F171)/3</f>
        <v>0</v>
      </c>
      <c r="G171" s="84">
        <f>('R2023'!G171+'R2022'!G171+'R2021'!G171)/3</f>
        <v>0</v>
      </c>
      <c r="H171" s="84">
        <f>('R2023'!H171+'R2022'!H171+'R2021'!H171)/3</f>
        <v>0</v>
      </c>
      <c r="I171" s="84">
        <f>('R2023'!I171+'R2022'!I171+'R2021'!I171)/3</f>
        <v>0</v>
      </c>
      <c r="J171" s="71"/>
      <c r="K171" s="84">
        <f t="shared" si="5"/>
        <v>0</v>
      </c>
      <c r="L171" s="67">
        <f t="shared" si="6"/>
        <v>0</v>
      </c>
    </row>
    <row r="172" spans="1:12" ht="15" collapsed="1" thickBot="1" x14ac:dyDescent="0.4">
      <c r="A172" s="37"/>
      <c r="B172" s="62" t="s">
        <v>325</v>
      </c>
      <c r="C172" s="54"/>
      <c r="D172" s="84">
        <f>('R2023'!D172+'R2022'!D172+'R2021'!D172)/3</f>
        <v>0</v>
      </c>
      <c r="E172" s="84">
        <f>('R2023'!E172+'R2022'!E172+'R2021'!E172)/3</f>
        <v>369925</v>
      </c>
      <c r="F172" s="84">
        <f>('R2023'!F172+'R2022'!F172+'R2021'!F172)/3</f>
        <v>1615186.6666666667</v>
      </c>
      <c r="G172" s="84">
        <f>('R2023'!G172+'R2022'!G172+'R2021'!G172)/3</f>
        <v>891633.33333333337</v>
      </c>
      <c r="H172" s="84">
        <f>('R2023'!H172+'R2022'!H172+'R2021'!H172)/3</f>
        <v>1326097.6666666667</v>
      </c>
      <c r="I172" s="84">
        <f>('R2023'!I172+'R2022'!I172+'R2021'!I172)/3</f>
        <v>81884</v>
      </c>
      <c r="J172" s="71"/>
      <c r="K172" s="84">
        <f t="shared" si="5"/>
        <v>81884</v>
      </c>
      <c r="L172" s="67">
        <f t="shared" si="6"/>
        <v>4284726.666666667</v>
      </c>
    </row>
    <row r="173" spans="1:12" hidden="1" outlineLevel="1" x14ac:dyDescent="0.35">
      <c r="A173" s="37" t="s">
        <v>295</v>
      </c>
      <c r="B173" s="62" t="s">
        <v>296</v>
      </c>
      <c r="C173" s="54" t="s">
        <v>325</v>
      </c>
      <c r="D173" s="84">
        <f>('R2023'!D173+'R2022'!D173+'R2021'!D173)/3</f>
        <v>0</v>
      </c>
      <c r="E173" s="84">
        <f>('R2023'!E173+'R2022'!E173+'R2021'!E173)/3</f>
        <v>19925</v>
      </c>
      <c r="F173" s="84">
        <f>('R2023'!F173+'R2022'!F173+'R2021'!F173)/3</f>
        <v>97453.666666666672</v>
      </c>
      <c r="G173" s="84">
        <f>('R2023'!G173+'R2022'!G173+'R2021'!G173)/3</f>
        <v>0</v>
      </c>
      <c r="H173" s="84">
        <f>('R2023'!H173+'R2022'!H173+'R2021'!H173)/3</f>
        <v>0</v>
      </c>
      <c r="I173" s="84">
        <f>('R2023'!I173+'R2022'!I173+'R2021'!I173)/3</f>
        <v>26666.666666666668</v>
      </c>
      <c r="J173" s="71"/>
      <c r="K173" s="84">
        <f t="shared" si="5"/>
        <v>26666.666666666668</v>
      </c>
      <c r="L173" s="67">
        <f t="shared" si="6"/>
        <v>144045.33333333334</v>
      </c>
    </row>
    <row r="174" spans="1:12" hidden="1" outlineLevel="1" x14ac:dyDescent="0.35">
      <c r="A174" s="37" t="s">
        <v>297</v>
      </c>
      <c r="B174" s="62" t="s">
        <v>298</v>
      </c>
      <c r="C174" s="54" t="s">
        <v>325</v>
      </c>
      <c r="D174" s="84">
        <f>('R2023'!D174+'R2022'!D174+'R2021'!D174)/3</f>
        <v>0</v>
      </c>
      <c r="E174" s="84">
        <f>('R2023'!E174+'R2022'!E174+'R2021'!E174)/3</f>
        <v>0</v>
      </c>
      <c r="F174" s="84">
        <f>('R2023'!F174+'R2022'!F174+'R2021'!F174)/3</f>
        <v>0</v>
      </c>
      <c r="G174" s="84">
        <f>('R2023'!G174+'R2022'!G174+'R2021'!G174)/3</f>
        <v>0</v>
      </c>
      <c r="H174" s="84">
        <f>('R2023'!H174+'R2022'!H174+'R2021'!H174)/3</f>
        <v>0</v>
      </c>
      <c r="I174" s="84">
        <f>('R2023'!I174+'R2022'!I174+'R2021'!I174)/3</f>
        <v>0</v>
      </c>
      <c r="J174" s="71"/>
      <c r="K174" s="84">
        <f t="shared" si="5"/>
        <v>0</v>
      </c>
      <c r="L174" s="67">
        <f t="shared" si="6"/>
        <v>0</v>
      </c>
    </row>
    <row r="175" spans="1:12" hidden="1" outlineLevel="1" x14ac:dyDescent="0.35">
      <c r="A175" s="37" t="s">
        <v>299</v>
      </c>
      <c r="B175" s="62" t="s">
        <v>232</v>
      </c>
      <c r="C175" s="54" t="s">
        <v>325</v>
      </c>
      <c r="D175" s="84">
        <f>('R2023'!D175+'R2022'!D175+'R2021'!D175)/3</f>
        <v>0</v>
      </c>
      <c r="E175" s="84">
        <f>('R2023'!E175+'R2022'!E175+'R2021'!E175)/3</f>
        <v>0</v>
      </c>
      <c r="F175" s="84">
        <f>('R2023'!F175+'R2022'!F175+'R2021'!F175)/3</f>
        <v>0</v>
      </c>
      <c r="G175" s="84">
        <f>('R2023'!G175+'R2022'!G175+'R2021'!G175)/3</f>
        <v>3528</v>
      </c>
      <c r="H175" s="84">
        <f>('R2023'!H175+'R2022'!H175+'R2021'!H175)/3</f>
        <v>81</v>
      </c>
      <c r="I175" s="84">
        <f>('R2023'!I175+'R2022'!I175+'R2021'!I175)/3</f>
        <v>836.33333333333337</v>
      </c>
      <c r="J175" s="71"/>
      <c r="K175" s="84">
        <f t="shared" si="5"/>
        <v>836.33333333333337</v>
      </c>
      <c r="L175" s="67">
        <f t="shared" si="6"/>
        <v>4445.333333333333</v>
      </c>
    </row>
    <row r="176" spans="1:12" hidden="1" outlineLevel="1" x14ac:dyDescent="0.35">
      <c r="A176" s="37" t="s">
        <v>300</v>
      </c>
      <c r="B176" s="62" t="s">
        <v>234</v>
      </c>
      <c r="C176" s="54" t="s">
        <v>325</v>
      </c>
      <c r="D176" s="84">
        <f>('R2023'!D176+'R2022'!D176+'R2021'!D176)/3</f>
        <v>0</v>
      </c>
      <c r="E176" s="84">
        <f>('R2023'!E176+'R2022'!E176+'R2021'!E176)/3</f>
        <v>0</v>
      </c>
      <c r="F176" s="84">
        <f>('R2023'!F176+'R2022'!F176+'R2021'!F176)/3</f>
        <v>0</v>
      </c>
      <c r="G176" s="84">
        <f>('R2023'!G176+'R2022'!G176+'R2021'!G176)/3</f>
        <v>0</v>
      </c>
      <c r="H176" s="84">
        <f>('R2023'!H176+'R2022'!H176+'R2021'!H176)/3</f>
        <v>0</v>
      </c>
      <c r="I176" s="84">
        <f>('R2023'!I176+'R2022'!I176+'R2021'!I176)/3</f>
        <v>0</v>
      </c>
      <c r="J176" s="71"/>
      <c r="K176" s="84">
        <f t="shared" si="5"/>
        <v>0</v>
      </c>
      <c r="L176" s="67">
        <f t="shared" si="6"/>
        <v>0</v>
      </c>
    </row>
    <row r="177" spans="1:12" hidden="1" outlineLevel="1" x14ac:dyDescent="0.35">
      <c r="A177" s="37" t="s">
        <v>301</v>
      </c>
      <c r="B177" s="62" t="s">
        <v>302</v>
      </c>
      <c r="C177" s="54" t="s">
        <v>325</v>
      </c>
      <c r="D177" s="84">
        <f>('R2023'!D177+'R2022'!D177+'R2021'!D177)/3</f>
        <v>0</v>
      </c>
      <c r="E177" s="84">
        <f>('R2023'!E177+'R2022'!E177+'R2021'!E177)/3</f>
        <v>0</v>
      </c>
      <c r="F177" s="84">
        <f>('R2023'!F177+'R2022'!F177+'R2021'!F177)/3</f>
        <v>-5333</v>
      </c>
      <c r="G177" s="84">
        <f>('R2023'!G177+'R2022'!G177+'R2021'!G177)/3</f>
        <v>9626.3333333333339</v>
      </c>
      <c r="H177" s="84">
        <f>('R2023'!H177+'R2022'!H177+'R2021'!H177)/3</f>
        <v>0</v>
      </c>
      <c r="I177" s="84">
        <f>('R2023'!I177+'R2022'!I177+'R2021'!I177)/3</f>
        <v>0</v>
      </c>
      <c r="J177" s="71"/>
      <c r="K177" s="84">
        <f t="shared" si="5"/>
        <v>0</v>
      </c>
      <c r="L177" s="67">
        <f t="shared" si="6"/>
        <v>4293.3333333333339</v>
      </c>
    </row>
    <row r="178" spans="1:12" hidden="1" outlineLevel="1" x14ac:dyDescent="0.35">
      <c r="A178" s="37" t="s">
        <v>303</v>
      </c>
      <c r="B178" s="62" t="s">
        <v>304</v>
      </c>
      <c r="C178" s="54" t="s">
        <v>325</v>
      </c>
      <c r="D178" s="84">
        <f>('R2023'!D178+'R2022'!D178+'R2021'!D178)/3</f>
        <v>0</v>
      </c>
      <c r="E178" s="84">
        <f>('R2023'!E178+'R2022'!E178+'R2021'!E178)/3</f>
        <v>0</v>
      </c>
      <c r="F178" s="84">
        <f>('R2023'!F178+'R2022'!F178+'R2021'!F178)/3</f>
        <v>181499.33333333334</v>
      </c>
      <c r="G178" s="84">
        <f>('R2023'!G178+'R2022'!G178+'R2021'!G178)/3</f>
        <v>104835.66666666667</v>
      </c>
      <c r="H178" s="84">
        <f>('R2023'!H178+'R2022'!H178+'R2021'!H178)/3</f>
        <v>94016.666666666672</v>
      </c>
      <c r="I178" s="84">
        <f>('R2023'!I178+'R2022'!I178+'R2021'!I178)/3</f>
        <v>54381</v>
      </c>
      <c r="J178" s="71"/>
      <c r="K178" s="84">
        <f t="shared" si="5"/>
        <v>54381</v>
      </c>
      <c r="L178" s="67">
        <f t="shared" si="6"/>
        <v>434732.66666666669</v>
      </c>
    </row>
    <row r="179" spans="1:12" hidden="1" outlineLevel="1" x14ac:dyDescent="0.35">
      <c r="A179" s="37" t="s">
        <v>305</v>
      </c>
      <c r="B179" s="62" t="s">
        <v>306</v>
      </c>
      <c r="C179" s="54" t="s">
        <v>325</v>
      </c>
      <c r="D179" s="84">
        <f>('R2023'!D179+'R2022'!D179+'R2021'!D179)/3</f>
        <v>0</v>
      </c>
      <c r="E179" s="84">
        <f>('R2023'!E179+'R2022'!E179+'R2021'!E179)/3</f>
        <v>0</v>
      </c>
      <c r="F179" s="84">
        <f>('R2023'!F179+'R2022'!F179+'R2021'!F179)/3</f>
        <v>0</v>
      </c>
      <c r="G179" s="84">
        <f>('R2023'!G179+'R2022'!G179+'R2021'!G179)/3</f>
        <v>0</v>
      </c>
      <c r="H179" s="84">
        <f>('R2023'!H179+'R2022'!H179+'R2021'!H179)/3</f>
        <v>0</v>
      </c>
      <c r="I179" s="84">
        <f>('R2023'!I179+'R2022'!I179+'R2021'!I179)/3</f>
        <v>0</v>
      </c>
      <c r="J179" s="71"/>
      <c r="K179" s="84">
        <f t="shared" si="5"/>
        <v>0</v>
      </c>
      <c r="L179" s="67">
        <f t="shared" si="6"/>
        <v>0</v>
      </c>
    </row>
    <row r="180" spans="1:12" hidden="1" outlineLevel="1" x14ac:dyDescent="0.35">
      <c r="A180" s="37" t="s">
        <v>307</v>
      </c>
      <c r="B180" s="62" t="s">
        <v>308</v>
      </c>
      <c r="C180" s="54" t="s">
        <v>325</v>
      </c>
      <c r="D180" s="84">
        <f>('R2023'!D180+'R2022'!D180+'R2021'!D180)/3</f>
        <v>0</v>
      </c>
      <c r="E180" s="84">
        <f>('R2023'!E180+'R2022'!E180+'R2021'!E180)/3</f>
        <v>0</v>
      </c>
      <c r="F180" s="84">
        <f>('R2023'!F180+'R2022'!F180+'R2021'!F180)/3</f>
        <v>0</v>
      </c>
      <c r="G180" s="84">
        <f>('R2023'!G180+'R2022'!G180+'R2021'!G180)/3</f>
        <v>0</v>
      </c>
      <c r="H180" s="84">
        <f>('R2023'!H180+'R2022'!H180+'R2021'!H180)/3</f>
        <v>0</v>
      </c>
      <c r="I180" s="84">
        <f>('R2023'!I180+'R2022'!I180+'R2021'!I180)/3</f>
        <v>0</v>
      </c>
      <c r="J180" s="71"/>
      <c r="K180" s="84">
        <f t="shared" si="5"/>
        <v>0</v>
      </c>
      <c r="L180" s="67">
        <f t="shared" si="6"/>
        <v>0</v>
      </c>
    </row>
    <row r="181" spans="1:12" hidden="1" outlineLevel="1" x14ac:dyDescent="0.35">
      <c r="A181" s="37" t="s">
        <v>309</v>
      </c>
      <c r="B181" s="69" t="s">
        <v>310</v>
      </c>
      <c r="C181" s="54" t="s">
        <v>325</v>
      </c>
      <c r="D181" s="84">
        <f>('R2023'!D181+'R2022'!D181+'R2021'!D181)/3</f>
        <v>0</v>
      </c>
      <c r="E181" s="84">
        <f>('R2023'!E181+'R2022'!E181+'R2021'!E181)/3</f>
        <v>0</v>
      </c>
      <c r="F181" s="84">
        <f>('R2023'!F181+'R2022'!F181+'R2021'!F181)/3</f>
        <v>22020</v>
      </c>
      <c r="G181" s="84">
        <f>('R2023'!G181+'R2022'!G181+'R2021'!G181)/3</f>
        <v>17476.666666666668</v>
      </c>
      <c r="H181" s="84">
        <f>('R2023'!H181+'R2022'!H181+'R2021'!H181)/3</f>
        <v>0</v>
      </c>
      <c r="I181" s="84">
        <f>('R2023'!I181+'R2022'!I181+'R2021'!I181)/3</f>
        <v>0</v>
      </c>
      <c r="J181" s="71"/>
      <c r="K181" s="84">
        <f t="shared" si="5"/>
        <v>0</v>
      </c>
      <c r="L181" s="67">
        <f t="shared" si="6"/>
        <v>39496.666666666672</v>
      </c>
    </row>
    <row r="182" spans="1:12" hidden="1" outlineLevel="1" x14ac:dyDescent="0.35">
      <c r="A182" s="37" t="s">
        <v>311</v>
      </c>
      <c r="B182" s="62" t="s">
        <v>312</v>
      </c>
      <c r="C182" s="54" t="s">
        <v>325</v>
      </c>
      <c r="D182" s="84">
        <f>('R2023'!D182+'R2022'!D182+'R2021'!D182)/3</f>
        <v>0</v>
      </c>
      <c r="E182" s="84">
        <f>('R2023'!E182+'R2022'!E182+'R2021'!E182)/3</f>
        <v>350000</v>
      </c>
      <c r="F182" s="84">
        <f>('R2023'!F182+'R2022'!F182+'R2021'!F182)/3</f>
        <v>1316666.6666666667</v>
      </c>
      <c r="G182" s="84">
        <f>('R2023'!G182+'R2022'!G182+'R2021'!G182)/3</f>
        <v>700000</v>
      </c>
      <c r="H182" s="84">
        <f>('R2023'!H182+'R2022'!H182+'R2021'!H182)/3</f>
        <v>732000</v>
      </c>
      <c r="I182" s="84">
        <f>('R2023'!I182+'R2022'!I182+'R2021'!I182)/3</f>
        <v>0</v>
      </c>
      <c r="J182" s="71"/>
      <c r="K182" s="84">
        <f t="shared" si="5"/>
        <v>0</v>
      </c>
      <c r="L182" s="67">
        <f t="shared" si="6"/>
        <v>3098666.666666667</v>
      </c>
    </row>
    <row r="183" spans="1:12" hidden="1" outlineLevel="1" x14ac:dyDescent="0.35">
      <c r="A183" s="37" t="s">
        <v>313</v>
      </c>
      <c r="B183" s="62" t="s">
        <v>901</v>
      </c>
      <c r="C183" s="54" t="s">
        <v>325</v>
      </c>
      <c r="D183" s="84">
        <f>('R2023'!D183+'R2022'!D183+'R2021'!D183)/3</f>
        <v>0</v>
      </c>
      <c r="E183" s="84">
        <f>('R2023'!E183+'R2022'!E183+'R2021'!E183)/3</f>
        <v>0</v>
      </c>
      <c r="F183" s="84">
        <f>('R2023'!F183+'R2022'!F183+'R2021'!F183)/3</f>
        <v>0</v>
      </c>
      <c r="G183" s="84">
        <f>('R2023'!G183+'R2022'!G183+'R2021'!G183)/3</f>
        <v>0</v>
      </c>
      <c r="H183" s="84">
        <f>('R2023'!H183+'R2022'!H183+'R2021'!H183)/3</f>
        <v>0</v>
      </c>
      <c r="I183" s="84">
        <f>('R2023'!I183+'R2022'!I183+'R2021'!I183)/3</f>
        <v>0</v>
      </c>
      <c r="J183" s="71"/>
      <c r="K183" s="84">
        <f t="shared" si="5"/>
        <v>0</v>
      </c>
      <c r="L183" s="67">
        <f t="shared" si="6"/>
        <v>0</v>
      </c>
    </row>
    <row r="184" spans="1:12" hidden="1" outlineLevel="1" x14ac:dyDescent="0.35">
      <c r="A184" s="37" t="s">
        <v>314</v>
      </c>
      <c r="B184" s="62" t="s">
        <v>315</v>
      </c>
      <c r="C184" s="54" t="s">
        <v>325</v>
      </c>
      <c r="D184" s="84">
        <f>('R2023'!D184+'R2022'!D184+'R2021'!D184)/3</f>
        <v>0</v>
      </c>
      <c r="E184" s="84">
        <f>('R2023'!E184+'R2022'!E184+'R2021'!E184)/3</f>
        <v>0</v>
      </c>
      <c r="F184" s="84">
        <f>('R2023'!F184+'R2022'!F184+'R2021'!F184)/3</f>
        <v>2880</v>
      </c>
      <c r="G184" s="84">
        <f>('R2023'!G184+'R2022'!G184+'R2021'!G184)/3</f>
        <v>0</v>
      </c>
      <c r="H184" s="84">
        <f>('R2023'!H184+'R2022'!H184+'R2021'!H184)/3</f>
        <v>0</v>
      </c>
      <c r="I184" s="84">
        <f>('R2023'!I184+'R2022'!I184+'R2021'!I184)/3</f>
        <v>0</v>
      </c>
      <c r="J184" s="71"/>
      <c r="K184" s="84">
        <f t="shared" si="5"/>
        <v>0</v>
      </c>
      <c r="L184" s="67">
        <f t="shared" si="6"/>
        <v>2880</v>
      </c>
    </row>
    <row r="185" spans="1:12" hidden="1" outlineLevel="1" x14ac:dyDescent="0.35">
      <c r="A185" s="37" t="s">
        <v>316</v>
      </c>
      <c r="B185" s="62" t="s">
        <v>317</v>
      </c>
      <c r="C185" s="54" t="s">
        <v>325</v>
      </c>
      <c r="D185" s="84">
        <f>('R2023'!D185+'R2022'!D185+'R2021'!D185)/3</f>
        <v>0</v>
      </c>
      <c r="E185" s="84">
        <f>('R2023'!E185+'R2022'!E185+'R2021'!E185)/3</f>
        <v>0</v>
      </c>
      <c r="F185" s="84">
        <f>('R2023'!F185+'R2022'!F185+'R2021'!F185)/3</f>
        <v>0</v>
      </c>
      <c r="G185" s="84">
        <f>('R2023'!G185+'R2022'!G185+'R2021'!G185)/3</f>
        <v>0</v>
      </c>
      <c r="H185" s="84">
        <f>('R2023'!H185+'R2022'!H185+'R2021'!H185)/3</f>
        <v>0</v>
      </c>
      <c r="I185" s="84">
        <f>('R2023'!I185+'R2022'!I185+'R2021'!I185)/3</f>
        <v>0</v>
      </c>
      <c r="J185" s="71"/>
      <c r="K185" s="84">
        <f t="shared" si="5"/>
        <v>0</v>
      </c>
      <c r="L185" s="67">
        <f t="shared" si="6"/>
        <v>0</v>
      </c>
    </row>
    <row r="186" spans="1:12" hidden="1" outlineLevel="1" x14ac:dyDescent="0.35">
      <c r="A186" s="37" t="s">
        <v>318</v>
      </c>
      <c r="B186" s="62" t="s">
        <v>319</v>
      </c>
      <c r="C186" s="54" t="s">
        <v>325</v>
      </c>
      <c r="D186" s="84">
        <f>('R2023'!D186+'R2022'!D186+'R2021'!D186)/3</f>
        <v>0</v>
      </c>
      <c r="E186" s="84">
        <f>('R2023'!E186+'R2022'!E186+'R2021'!E186)/3</f>
        <v>0</v>
      </c>
      <c r="F186" s="84">
        <f>('R2023'!F186+'R2022'!F186+'R2021'!F186)/3</f>
        <v>0</v>
      </c>
      <c r="G186" s="84">
        <f>('R2023'!G186+'R2022'!G186+'R2021'!G186)/3</f>
        <v>0</v>
      </c>
      <c r="H186" s="84">
        <f>('R2023'!H186+'R2022'!H186+'R2021'!H186)/3</f>
        <v>0</v>
      </c>
      <c r="I186" s="84">
        <f>('R2023'!I186+'R2022'!I186+'R2021'!I186)/3</f>
        <v>0</v>
      </c>
      <c r="J186" s="71"/>
      <c r="K186" s="84">
        <f t="shared" si="5"/>
        <v>0</v>
      </c>
      <c r="L186" s="67">
        <f t="shared" si="6"/>
        <v>0</v>
      </c>
    </row>
    <row r="187" spans="1:12" hidden="1" outlineLevel="1" x14ac:dyDescent="0.35">
      <c r="A187" s="37" t="s">
        <v>320</v>
      </c>
      <c r="B187" s="62" t="s">
        <v>321</v>
      </c>
      <c r="C187" s="54" t="s">
        <v>325</v>
      </c>
      <c r="D187" s="84">
        <f>('R2023'!D187+'R2022'!D187+'R2021'!D187)/3</f>
        <v>0</v>
      </c>
      <c r="E187" s="84">
        <f>('R2023'!E187+'R2022'!E187+'R2021'!E187)/3</f>
        <v>0</v>
      </c>
      <c r="F187" s="84">
        <f>('R2023'!F187+'R2022'!F187+'R2021'!F187)/3</f>
        <v>0</v>
      </c>
      <c r="G187" s="84">
        <f>('R2023'!G187+'R2022'!G187+'R2021'!G187)/3</f>
        <v>0</v>
      </c>
      <c r="H187" s="84">
        <f>('R2023'!H187+'R2022'!H187+'R2021'!H187)/3</f>
        <v>0</v>
      </c>
      <c r="I187" s="84">
        <f>('R2023'!I187+'R2022'!I187+'R2021'!I187)/3</f>
        <v>0</v>
      </c>
      <c r="J187" s="71"/>
      <c r="K187" s="84">
        <f t="shared" si="5"/>
        <v>0</v>
      </c>
      <c r="L187" s="67">
        <f t="shared" si="6"/>
        <v>0</v>
      </c>
    </row>
    <row r="188" spans="1:12" hidden="1" outlineLevel="1" x14ac:dyDescent="0.35">
      <c r="A188" s="37" t="s">
        <v>322</v>
      </c>
      <c r="B188" s="62" t="s">
        <v>323</v>
      </c>
      <c r="C188" s="54" t="s">
        <v>325</v>
      </c>
      <c r="D188" s="84">
        <f>('R2023'!D188+'R2022'!D188+'R2021'!D188)/3</f>
        <v>0</v>
      </c>
      <c r="E188" s="84">
        <f>('R2023'!E188+'R2022'!E188+'R2021'!E188)/3</f>
        <v>0</v>
      </c>
      <c r="F188" s="84">
        <f>('R2023'!F188+'R2022'!F188+'R2021'!F188)/3</f>
        <v>0</v>
      </c>
      <c r="G188" s="84">
        <f>('R2023'!G188+'R2022'!G188+'R2021'!G188)/3</f>
        <v>0</v>
      </c>
      <c r="H188" s="84">
        <f>('R2023'!H188+'R2022'!H188+'R2021'!H188)/3</f>
        <v>0</v>
      </c>
      <c r="I188" s="84">
        <f>('R2023'!I188+'R2022'!I188+'R2021'!I188)/3</f>
        <v>0</v>
      </c>
      <c r="J188" s="71"/>
      <c r="K188" s="84">
        <f t="shared" si="5"/>
        <v>0</v>
      </c>
      <c r="L188" s="67">
        <f t="shared" si="6"/>
        <v>0</v>
      </c>
    </row>
    <row r="189" spans="1:12" hidden="1" outlineLevel="1" x14ac:dyDescent="0.35">
      <c r="A189" s="37" t="s">
        <v>324</v>
      </c>
      <c r="B189" s="62" t="s">
        <v>325</v>
      </c>
      <c r="C189" s="54" t="s">
        <v>325</v>
      </c>
      <c r="D189" s="84">
        <f>('R2023'!D189+'R2022'!D189+'R2021'!D189)/3</f>
        <v>0</v>
      </c>
      <c r="E189" s="84">
        <f>('R2023'!E189+'R2022'!E189+'R2021'!E189)/3</f>
        <v>0</v>
      </c>
      <c r="F189" s="84">
        <f>('R2023'!F189+'R2022'!F189+'R2021'!F189)/3</f>
        <v>0</v>
      </c>
      <c r="G189" s="84">
        <f>('R2023'!G189+'R2022'!G189+'R2021'!G189)/3</f>
        <v>56166.666666666664</v>
      </c>
      <c r="H189" s="84">
        <f>('R2023'!H189+'R2022'!H189+'R2021'!H189)/3</f>
        <v>500000</v>
      </c>
      <c r="I189" s="84">
        <f>('R2023'!I189+'R2022'!I189+'R2021'!I189)/3</f>
        <v>0</v>
      </c>
      <c r="J189" s="71"/>
      <c r="K189" s="84">
        <f t="shared" si="5"/>
        <v>0</v>
      </c>
      <c r="L189" s="67">
        <f t="shared" si="6"/>
        <v>556166.66666666663</v>
      </c>
    </row>
    <row r="190" spans="1:12" ht="15" hidden="1" outlineLevel="1" thickBot="1" x14ac:dyDescent="0.4">
      <c r="A190" s="37" t="s">
        <v>326</v>
      </c>
      <c r="B190" s="62" t="s">
        <v>327</v>
      </c>
      <c r="C190" s="54" t="s">
        <v>325</v>
      </c>
      <c r="D190" s="84">
        <f>('R2023'!D190+'R2022'!D190+'R2021'!D190)/3</f>
        <v>0</v>
      </c>
      <c r="E190" s="84">
        <f>('R2023'!E190+'R2022'!E190+'R2021'!E190)/3</f>
        <v>0</v>
      </c>
      <c r="F190" s="84">
        <f>('R2023'!F190+'R2022'!F190+'R2021'!F190)/3</f>
        <v>0</v>
      </c>
      <c r="G190" s="84">
        <f>('R2023'!G190+'R2022'!G190+'R2021'!G190)/3</f>
        <v>0</v>
      </c>
      <c r="H190" s="84">
        <f>('R2023'!H190+'R2022'!H190+'R2021'!H190)/3</f>
        <v>0</v>
      </c>
      <c r="I190" s="84">
        <f>('R2023'!I190+'R2022'!I190+'R2021'!I190)/3</f>
        <v>0</v>
      </c>
      <c r="J190" s="71"/>
      <c r="K190" s="84">
        <f t="shared" si="5"/>
        <v>0</v>
      </c>
      <c r="L190" s="67">
        <f t="shared" si="6"/>
        <v>0</v>
      </c>
    </row>
    <row r="191" spans="1:12" ht="15" collapsed="1" thickBot="1" x14ac:dyDescent="0.4">
      <c r="A191" s="49"/>
      <c r="B191" s="112" t="s">
        <v>1285</v>
      </c>
      <c r="C191" s="50"/>
      <c r="D191" s="142">
        <f>('R2023'!D191+'R2022'!D191+'R2021'!D191)/3</f>
        <v>0</v>
      </c>
      <c r="E191" s="142">
        <f>('R2023'!E191+'R2022'!E191+'R2021'!E191)/3</f>
        <v>6076151.333333333</v>
      </c>
      <c r="F191" s="142">
        <f>('R2023'!F191+'R2022'!F191+'R2021'!F191)/3</f>
        <v>5967461</v>
      </c>
      <c r="G191" s="142">
        <f>('R2023'!G191+'R2022'!G191+'R2021'!G191)/3</f>
        <v>7575045.333333333</v>
      </c>
      <c r="H191" s="142">
        <f>('R2023'!H191+'R2022'!H191+'R2021'!H191)/3</f>
        <v>5167985.666666667</v>
      </c>
      <c r="I191" s="142">
        <f>('R2023'!I191+'R2022'!I191+'R2021'!I191)/3</f>
        <v>1011244.3333333334</v>
      </c>
      <c r="J191" s="141"/>
      <c r="K191" s="142">
        <f t="shared" si="5"/>
        <v>1011244.3333333334</v>
      </c>
      <c r="L191" s="113">
        <f t="shared" si="6"/>
        <v>25797887.666666668</v>
      </c>
    </row>
    <row r="192" spans="1:12" x14ac:dyDescent="0.35">
      <c r="A192" s="52"/>
      <c r="B192" s="72"/>
      <c r="C192" s="53"/>
      <c r="D192" s="84">
        <f>('R2023'!D192+'R2022'!D192+'R2021'!D192)/3</f>
        <v>0</v>
      </c>
      <c r="E192" s="84">
        <f>('R2023'!E192+'R2022'!E192+'R2021'!E192)/3</f>
        <v>0</v>
      </c>
      <c r="F192" s="84">
        <f>('R2023'!F192+'R2022'!F192+'R2021'!F192)/3</f>
        <v>0</v>
      </c>
      <c r="G192" s="84">
        <f>('R2023'!G192+'R2022'!G192+'R2021'!G192)/3</f>
        <v>0</v>
      </c>
      <c r="H192" s="84">
        <f>('R2023'!H192+'R2022'!H192+'R2021'!H192)/3</f>
        <v>0</v>
      </c>
      <c r="I192" s="84">
        <f>('R2023'!I192+'R2022'!I192+'R2021'!I192)/3</f>
        <v>0</v>
      </c>
      <c r="J192" s="71"/>
      <c r="K192" s="84">
        <f t="shared" si="5"/>
        <v>0</v>
      </c>
      <c r="L192" s="67">
        <f t="shared" si="6"/>
        <v>0</v>
      </c>
    </row>
    <row r="193" spans="1:12" x14ac:dyDescent="0.35">
      <c r="A193" s="52"/>
      <c r="B193" s="72"/>
      <c r="C193" s="53"/>
      <c r="D193" s="84">
        <f>('R2023'!D193+'R2022'!D193+'R2021'!D193)/3</f>
        <v>0</v>
      </c>
      <c r="E193" s="84">
        <f>('R2023'!E193+'R2022'!E193+'R2021'!E193)/3</f>
        <v>0</v>
      </c>
      <c r="F193" s="84">
        <f>('R2023'!F193+'R2022'!F193+'R2021'!F193)/3</f>
        <v>0</v>
      </c>
      <c r="G193" s="84">
        <f>('R2023'!G193+'R2022'!G193+'R2021'!G193)/3</f>
        <v>0</v>
      </c>
      <c r="H193" s="84">
        <f>('R2023'!H193+'R2022'!H193+'R2021'!H193)/3</f>
        <v>0</v>
      </c>
      <c r="I193" s="84">
        <f>('R2023'!I193+'R2022'!I193+'R2021'!I193)/3</f>
        <v>0</v>
      </c>
      <c r="J193" s="71"/>
      <c r="K193" s="84">
        <f t="shared" si="5"/>
        <v>0</v>
      </c>
      <c r="L193" s="67">
        <f t="shared" si="6"/>
        <v>0</v>
      </c>
    </row>
    <row r="194" spans="1:12" collapsed="1" x14ac:dyDescent="0.35">
      <c r="A194" s="37"/>
      <c r="B194" s="62" t="s">
        <v>903</v>
      </c>
      <c r="C194" s="54"/>
      <c r="D194" s="84">
        <f>('R2023'!D194+'R2022'!D194+'R2021'!D194)/3</f>
        <v>75801.666666666672</v>
      </c>
      <c r="E194" s="84">
        <f>('R2023'!E194+'R2022'!E194+'R2021'!E194)/3</f>
        <v>362117.66666666669</v>
      </c>
      <c r="F194" s="84">
        <f>('R2023'!F194+'R2022'!F194+'R2021'!F194)/3</f>
        <v>896750.33333333337</v>
      </c>
      <c r="G194" s="84">
        <f>('R2023'!G194+'R2022'!G194+'R2021'!G194)/3</f>
        <v>1091916.3333333333</v>
      </c>
      <c r="H194" s="84">
        <f>('R2023'!H194+'R2022'!H194+'R2021'!H194)/3</f>
        <v>894746.66666666663</v>
      </c>
      <c r="I194" s="84">
        <f>('R2023'!I194+'R2022'!I194+'R2021'!I194)/3</f>
        <v>224188</v>
      </c>
      <c r="J194" s="71"/>
      <c r="K194" s="84">
        <f t="shared" si="5"/>
        <v>224188</v>
      </c>
      <c r="L194" s="67">
        <f t="shared" si="6"/>
        <v>3545520.6666666665</v>
      </c>
    </row>
    <row r="195" spans="1:12" hidden="1" outlineLevel="1" x14ac:dyDescent="0.35">
      <c r="A195" s="37" t="s">
        <v>328</v>
      </c>
      <c r="B195" s="62" t="s">
        <v>329</v>
      </c>
      <c r="C195" s="54" t="s">
        <v>903</v>
      </c>
      <c r="D195" s="84">
        <f>('R2023'!D195+'R2022'!D195+'R2021'!D195)/3</f>
        <v>0</v>
      </c>
      <c r="E195" s="84">
        <f>('R2023'!E195+'R2022'!E195+'R2021'!E195)/3</f>
        <v>0</v>
      </c>
      <c r="F195" s="84">
        <f>('R2023'!F195+'R2022'!F195+'R2021'!F195)/3</f>
        <v>50344</v>
      </c>
      <c r="G195" s="84">
        <f>('R2023'!G195+'R2022'!G195+'R2021'!G195)/3</f>
        <v>291.33333333333331</v>
      </c>
      <c r="H195" s="84">
        <f>('R2023'!H195+'R2022'!H195+'R2021'!H195)/3</f>
        <v>0</v>
      </c>
      <c r="I195" s="84">
        <f>('R2023'!I195+'R2022'!I195+'R2021'!I195)/3</f>
        <v>0</v>
      </c>
      <c r="J195" s="71"/>
      <c r="K195" s="84">
        <f t="shared" si="5"/>
        <v>0</v>
      </c>
      <c r="L195" s="67">
        <f t="shared" si="6"/>
        <v>50635.333333333336</v>
      </c>
    </row>
    <row r="196" spans="1:12" hidden="1" outlineLevel="1" x14ac:dyDescent="0.35">
      <c r="A196" s="37" t="s">
        <v>330</v>
      </c>
      <c r="B196" s="62" t="s">
        <v>331</v>
      </c>
      <c r="C196" s="54" t="s">
        <v>903</v>
      </c>
      <c r="D196" s="84">
        <f>('R2023'!D196+'R2022'!D196+'R2021'!D196)/3</f>
        <v>0</v>
      </c>
      <c r="E196" s="84">
        <f>('R2023'!E196+'R2022'!E196+'R2021'!E196)/3</f>
        <v>0</v>
      </c>
      <c r="F196" s="84">
        <f>('R2023'!F196+'R2022'!F196+'R2021'!F196)/3</f>
        <v>13530.666666666666</v>
      </c>
      <c r="G196" s="84">
        <f>('R2023'!G196+'R2022'!G196+'R2021'!G196)/3</f>
        <v>11765.333333333334</v>
      </c>
      <c r="H196" s="84">
        <f>('R2023'!H196+'R2022'!H196+'R2021'!H196)/3</f>
        <v>0</v>
      </c>
      <c r="I196" s="84">
        <f>('R2023'!I196+'R2022'!I196+'R2021'!I196)/3</f>
        <v>0</v>
      </c>
      <c r="J196" s="71"/>
      <c r="K196" s="84">
        <f t="shared" si="5"/>
        <v>0</v>
      </c>
      <c r="L196" s="67">
        <f t="shared" si="6"/>
        <v>25296</v>
      </c>
    </row>
    <row r="197" spans="1:12" hidden="1" outlineLevel="1" x14ac:dyDescent="0.35">
      <c r="A197" s="37" t="s">
        <v>332</v>
      </c>
      <c r="B197" s="62" t="s">
        <v>333</v>
      </c>
      <c r="C197" s="54" t="s">
        <v>903</v>
      </c>
      <c r="D197" s="84">
        <f>('R2023'!D197+'R2022'!D197+'R2021'!D197)/3</f>
        <v>32169.666666666668</v>
      </c>
      <c r="E197" s="84">
        <f>('R2023'!E197+'R2022'!E197+'R2021'!E197)/3</f>
        <v>0</v>
      </c>
      <c r="F197" s="84">
        <f>('R2023'!F197+'R2022'!F197+'R2021'!F197)/3</f>
        <v>0</v>
      </c>
      <c r="G197" s="84">
        <f>('R2023'!G197+'R2022'!G197+'R2021'!G197)/3</f>
        <v>1016.6666666666666</v>
      </c>
      <c r="H197" s="84">
        <f>('R2023'!H197+'R2022'!H197+'R2021'!H197)/3</f>
        <v>106075.33333333333</v>
      </c>
      <c r="I197" s="84">
        <f>('R2023'!I197+'R2022'!I197+'R2021'!I197)/3</f>
        <v>0</v>
      </c>
      <c r="J197" s="71"/>
      <c r="K197" s="84">
        <f t="shared" si="5"/>
        <v>0</v>
      </c>
      <c r="L197" s="67">
        <f t="shared" si="6"/>
        <v>139261.66666666666</v>
      </c>
    </row>
    <row r="198" spans="1:12" hidden="1" outlineLevel="1" x14ac:dyDescent="0.35">
      <c r="A198" s="37" t="s">
        <v>334</v>
      </c>
      <c r="B198" s="62" t="s">
        <v>335</v>
      </c>
      <c r="C198" s="54" t="s">
        <v>903</v>
      </c>
      <c r="D198" s="84">
        <f>('R2023'!D198+'R2022'!D198+'R2021'!D198)/3</f>
        <v>0</v>
      </c>
      <c r="E198" s="84">
        <f>('R2023'!E198+'R2022'!E198+'R2021'!E198)/3</f>
        <v>0</v>
      </c>
      <c r="F198" s="84">
        <f>('R2023'!F198+'R2022'!F198+'R2021'!F198)/3</f>
        <v>0</v>
      </c>
      <c r="G198" s="84">
        <f>('R2023'!G198+'R2022'!G198+'R2021'!G198)/3</f>
        <v>0</v>
      </c>
      <c r="H198" s="84">
        <f>('R2023'!H198+'R2022'!H198+'R2021'!H198)/3</f>
        <v>0</v>
      </c>
      <c r="I198" s="84">
        <f>('R2023'!I198+'R2022'!I198+'R2021'!I198)/3</f>
        <v>0</v>
      </c>
      <c r="J198" s="71"/>
      <c r="K198" s="84">
        <f t="shared" ref="K198:K261" si="8">J198+I198</f>
        <v>0</v>
      </c>
      <c r="L198" s="67">
        <f t="shared" ref="L198:L261" si="9">K198+D198+E198+F198+G198+H198</f>
        <v>0</v>
      </c>
    </row>
    <row r="199" spans="1:12" hidden="1" outlineLevel="1" x14ac:dyDescent="0.35">
      <c r="A199" s="37" t="s">
        <v>336</v>
      </c>
      <c r="B199" s="62" t="s">
        <v>337</v>
      </c>
      <c r="C199" s="54" t="s">
        <v>903</v>
      </c>
      <c r="D199" s="84">
        <f>('R2023'!D199+'R2022'!D199+'R2021'!D199)/3</f>
        <v>0</v>
      </c>
      <c r="E199" s="84">
        <f>('R2023'!E199+'R2022'!E199+'R2021'!E199)/3</f>
        <v>0</v>
      </c>
      <c r="F199" s="84">
        <f>('R2023'!F199+'R2022'!F199+'R2021'!F199)/3</f>
        <v>0</v>
      </c>
      <c r="G199" s="84">
        <f>('R2023'!G199+'R2022'!G199+'R2021'!G199)/3</f>
        <v>0</v>
      </c>
      <c r="H199" s="84">
        <f>('R2023'!H199+'R2022'!H199+'R2021'!H199)/3</f>
        <v>0</v>
      </c>
      <c r="I199" s="84">
        <f>('R2023'!I199+'R2022'!I199+'R2021'!I199)/3</f>
        <v>0</v>
      </c>
      <c r="J199" s="71"/>
      <c r="K199" s="84">
        <f t="shared" si="8"/>
        <v>0</v>
      </c>
      <c r="L199" s="67">
        <f t="shared" si="9"/>
        <v>0</v>
      </c>
    </row>
    <row r="200" spans="1:12" hidden="1" outlineLevel="1" x14ac:dyDescent="0.35">
      <c r="A200" s="37" t="s">
        <v>338</v>
      </c>
      <c r="B200" s="62" t="s">
        <v>339</v>
      </c>
      <c r="C200" s="54" t="s">
        <v>903</v>
      </c>
      <c r="D200" s="84">
        <f>('R2023'!D200+'R2022'!D200+'R2021'!D200)/3</f>
        <v>0</v>
      </c>
      <c r="E200" s="84">
        <f>('R2023'!E200+'R2022'!E200+'R2021'!E200)/3</f>
        <v>0</v>
      </c>
      <c r="F200" s="84">
        <f>('R2023'!F200+'R2022'!F200+'R2021'!F200)/3</f>
        <v>0</v>
      </c>
      <c r="G200" s="84">
        <f>('R2023'!G200+'R2022'!G200+'R2021'!G200)/3</f>
        <v>0</v>
      </c>
      <c r="H200" s="84">
        <f>('R2023'!H200+'R2022'!H200+'R2021'!H200)/3</f>
        <v>0</v>
      </c>
      <c r="I200" s="84">
        <f>('R2023'!I200+'R2022'!I200+'R2021'!I200)/3</f>
        <v>0</v>
      </c>
      <c r="J200" s="71"/>
      <c r="K200" s="84">
        <f t="shared" si="8"/>
        <v>0</v>
      </c>
      <c r="L200" s="67">
        <f t="shared" si="9"/>
        <v>0</v>
      </c>
    </row>
    <row r="201" spans="1:12" hidden="1" outlineLevel="1" x14ac:dyDescent="0.35">
      <c r="A201" s="37" t="s">
        <v>340</v>
      </c>
      <c r="B201" s="62" t="s">
        <v>341</v>
      </c>
      <c r="C201" s="54" t="s">
        <v>903</v>
      </c>
      <c r="D201" s="84">
        <f>('R2023'!D201+'R2022'!D201+'R2021'!D201)/3</f>
        <v>0</v>
      </c>
      <c r="E201" s="84">
        <f>('R2023'!E201+'R2022'!E201+'R2021'!E201)/3</f>
        <v>0</v>
      </c>
      <c r="F201" s="84">
        <f>('R2023'!F201+'R2022'!F201+'R2021'!F201)/3</f>
        <v>0</v>
      </c>
      <c r="G201" s="84">
        <f>('R2023'!G201+'R2022'!G201+'R2021'!G201)/3</f>
        <v>0</v>
      </c>
      <c r="H201" s="84">
        <f>('R2023'!H201+'R2022'!H201+'R2021'!H201)/3</f>
        <v>0</v>
      </c>
      <c r="I201" s="84">
        <f>('R2023'!I201+'R2022'!I201+'R2021'!I201)/3</f>
        <v>0</v>
      </c>
      <c r="J201" s="71"/>
      <c r="K201" s="84">
        <f t="shared" si="8"/>
        <v>0</v>
      </c>
      <c r="L201" s="67">
        <f t="shared" si="9"/>
        <v>0</v>
      </c>
    </row>
    <row r="202" spans="1:12" hidden="1" outlineLevel="1" x14ac:dyDescent="0.35">
      <c r="A202" s="37" t="s">
        <v>342</v>
      </c>
      <c r="B202" s="62" t="s">
        <v>343</v>
      </c>
      <c r="C202" s="54" t="s">
        <v>903</v>
      </c>
      <c r="D202" s="84">
        <f>('R2023'!D202+'R2022'!D202+'R2021'!D202)/3</f>
        <v>0</v>
      </c>
      <c r="E202" s="84">
        <f>('R2023'!E202+'R2022'!E202+'R2021'!E202)/3</f>
        <v>0</v>
      </c>
      <c r="F202" s="84">
        <f>('R2023'!F202+'R2022'!F202+'R2021'!F202)/3</f>
        <v>0</v>
      </c>
      <c r="G202" s="84">
        <f>('R2023'!G202+'R2022'!G202+'R2021'!G202)/3</f>
        <v>0</v>
      </c>
      <c r="H202" s="84">
        <f>('R2023'!H202+'R2022'!H202+'R2021'!H202)/3</f>
        <v>0</v>
      </c>
      <c r="I202" s="84">
        <f>('R2023'!I202+'R2022'!I202+'R2021'!I202)/3</f>
        <v>0</v>
      </c>
      <c r="J202" s="71"/>
      <c r="K202" s="84">
        <f t="shared" si="8"/>
        <v>0</v>
      </c>
      <c r="L202" s="67">
        <f t="shared" si="9"/>
        <v>0</v>
      </c>
    </row>
    <row r="203" spans="1:12" hidden="1" outlineLevel="1" x14ac:dyDescent="0.35">
      <c r="A203" s="37" t="s">
        <v>344</v>
      </c>
      <c r="B203" s="62" t="s">
        <v>345</v>
      </c>
      <c r="C203" s="54" t="s">
        <v>903</v>
      </c>
      <c r="D203" s="84">
        <f>('R2023'!D203+'R2022'!D203+'R2021'!D203)/3</f>
        <v>0</v>
      </c>
      <c r="E203" s="84">
        <f>('R2023'!E203+'R2022'!E203+'R2021'!E203)/3</f>
        <v>0</v>
      </c>
      <c r="F203" s="84">
        <f>('R2023'!F203+'R2022'!F203+'R2021'!F203)/3</f>
        <v>0</v>
      </c>
      <c r="G203" s="84">
        <f>('R2023'!G203+'R2022'!G203+'R2021'!G203)/3</f>
        <v>0</v>
      </c>
      <c r="H203" s="84">
        <f>('R2023'!H203+'R2022'!H203+'R2021'!H203)/3</f>
        <v>0</v>
      </c>
      <c r="I203" s="84">
        <f>('R2023'!I203+'R2022'!I203+'R2021'!I203)/3</f>
        <v>0</v>
      </c>
      <c r="J203" s="71"/>
      <c r="K203" s="84">
        <f t="shared" si="8"/>
        <v>0</v>
      </c>
      <c r="L203" s="67">
        <f t="shared" si="9"/>
        <v>0</v>
      </c>
    </row>
    <row r="204" spans="1:12" hidden="1" outlineLevel="1" x14ac:dyDescent="0.35">
      <c r="A204" s="37" t="s">
        <v>346</v>
      </c>
      <c r="B204" s="62" t="s">
        <v>347</v>
      </c>
      <c r="C204" s="54" t="s">
        <v>903</v>
      </c>
      <c r="D204" s="84">
        <f>('R2023'!D204+'R2022'!D204+'R2021'!D204)/3</f>
        <v>0</v>
      </c>
      <c r="E204" s="84">
        <f>('R2023'!E204+'R2022'!E204+'R2021'!E204)/3</f>
        <v>0</v>
      </c>
      <c r="F204" s="84">
        <f>('R2023'!F204+'R2022'!F204+'R2021'!F204)/3</f>
        <v>0</v>
      </c>
      <c r="G204" s="84">
        <f>('R2023'!G204+'R2022'!G204+'R2021'!G204)/3</f>
        <v>0</v>
      </c>
      <c r="H204" s="84">
        <f>('R2023'!H204+'R2022'!H204+'R2021'!H204)/3</f>
        <v>0</v>
      </c>
      <c r="I204" s="84">
        <f>('R2023'!I204+'R2022'!I204+'R2021'!I204)/3</f>
        <v>0</v>
      </c>
      <c r="J204" s="71"/>
      <c r="K204" s="84">
        <f t="shared" si="8"/>
        <v>0</v>
      </c>
      <c r="L204" s="67">
        <f t="shared" si="9"/>
        <v>0</v>
      </c>
    </row>
    <row r="205" spans="1:12" hidden="1" outlineLevel="1" x14ac:dyDescent="0.35">
      <c r="A205" s="37" t="s">
        <v>348</v>
      </c>
      <c r="B205" s="62" t="s">
        <v>349</v>
      </c>
      <c r="C205" s="54" t="s">
        <v>903</v>
      </c>
      <c r="D205" s="84">
        <f>('R2023'!D205+'R2022'!D205+'R2021'!D205)/3</f>
        <v>0</v>
      </c>
      <c r="E205" s="84">
        <f>('R2023'!E205+'R2022'!E205+'R2021'!E205)/3</f>
        <v>0</v>
      </c>
      <c r="F205" s="84">
        <f>('R2023'!F205+'R2022'!F205+'R2021'!F205)/3</f>
        <v>0</v>
      </c>
      <c r="G205" s="84">
        <f>('R2023'!G205+'R2022'!G205+'R2021'!G205)/3</f>
        <v>0</v>
      </c>
      <c r="H205" s="84">
        <f>('R2023'!H205+'R2022'!H205+'R2021'!H205)/3</f>
        <v>0</v>
      </c>
      <c r="I205" s="84">
        <f>('R2023'!I205+'R2022'!I205+'R2021'!I205)/3</f>
        <v>0</v>
      </c>
      <c r="J205" s="71"/>
      <c r="K205" s="84">
        <f t="shared" si="8"/>
        <v>0</v>
      </c>
      <c r="L205" s="67">
        <f t="shared" si="9"/>
        <v>0</v>
      </c>
    </row>
    <row r="206" spans="1:12" hidden="1" outlineLevel="1" x14ac:dyDescent="0.35">
      <c r="A206" s="37" t="s">
        <v>350</v>
      </c>
      <c r="B206" s="62" t="s">
        <v>351</v>
      </c>
      <c r="C206" s="54" t="s">
        <v>903</v>
      </c>
      <c r="D206" s="84">
        <f>('R2023'!D206+'R2022'!D206+'R2021'!D206)/3</f>
        <v>0</v>
      </c>
      <c r="E206" s="84">
        <f>('R2023'!E206+'R2022'!E206+'R2021'!E206)/3</f>
        <v>0</v>
      </c>
      <c r="F206" s="84">
        <f>('R2023'!F206+'R2022'!F206+'R2021'!F206)/3</f>
        <v>0</v>
      </c>
      <c r="G206" s="84">
        <f>('R2023'!G206+'R2022'!G206+'R2021'!G206)/3</f>
        <v>0</v>
      </c>
      <c r="H206" s="84">
        <f>('R2023'!H206+'R2022'!H206+'R2021'!H206)/3</f>
        <v>0</v>
      </c>
      <c r="I206" s="84">
        <f>('R2023'!I206+'R2022'!I206+'R2021'!I206)/3</f>
        <v>0</v>
      </c>
      <c r="J206" s="71"/>
      <c r="K206" s="84">
        <f t="shared" si="8"/>
        <v>0</v>
      </c>
      <c r="L206" s="67">
        <f t="shared" si="9"/>
        <v>0</v>
      </c>
    </row>
    <row r="207" spans="1:12" hidden="1" outlineLevel="1" x14ac:dyDescent="0.35">
      <c r="A207" s="37" t="s">
        <v>352</v>
      </c>
      <c r="B207" s="62" t="s">
        <v>353</v>
      </c>
      <c r="C207" s="54" t="s">
        <v>903</v>
      </c>
      <c r="D207" s="84">
        <f>('R2023'!D207+'R2022'!D207+'R2021'!D207)/3</f>
        <v>0</v>
      </c>
      <c r="E207" s="84">
        <f>('R2023'!E207+'R2022'!E207+'R2021'!E207)/3</f>
        <v>0</v>
      </c>
      <c r="F207" s="84">
        <f>('R2023'!F207+'R2022'!F207+'R2021'!F207)/3</f>
        <v>0</v>
      </c>
      <c r="G207" s="84">
        <f>('R2023'!G207+'R2022'!G207+'R2021'!G207)/3</f>
        <v>0</v>
      </c>
      <c r="H207" s="84">
        <f>('R2023'!H207+'R2022'!H207+'R2021'!H207)/3</f>
        <v>0</v>
      </c>
      <c r="I207" s="84">
        <f>('R2023'!I207+'R2022'!I207+'R2021'!I207)/3</f>
        <v>0</v>
      </c>
      <c r="J207" s="71"/>
      <c r="K207" s="84">
        <f t="shared" si="8"/>
        <v>0</v>
      </c>
      <c r="L207" s="67">
        <f t="shared" si="9"/>
        <v>0</v>
      </c>
    </row>
    <row r="208" spans="1:12" hidden="1" outlineLevel="1" x14ac:dyDescent="0.35">
      <c r="A208" s="37" t="s">
        <v>354</v>
      </c>
      <c r="B208" s="62" t="s">
        <v>355</v>
      </c>
      <c r="C208" s="54" t="s">
        <v>903</v>
      </c>
      <c r="D208" s="84">
        <f>('R2023'!D208+'R2022'!D208+'R2021'!D208)/3</f>
        <v>0</v>
      </c>
      <c r="E208" s="84">
        <f>('R2023'!E208+'R2022'!E208+'R2021'!E208)/3</f>
        <v>0</v>
      </c>
      <c r="F208" s="84">
        <f>('R2023'!F208+'R2022'!F208+'R2021'!F208)/3</f>
        <v>0</v>
      </c>
      <c r="G208" s="84">
        <f>('R2023'!G208+'R2022'!G208+'R2021'!G208)/3</f>
        <v>0</v>
      </c>
      <c r="H208" s="84">
        <f>('R2023'!H208+'R2022'!H208+'R2021'!H208)/3</f>
        <v>0</v>
      </c>
      <c r="I208" s="84">
        <f>('R2023'!I208+'R2022'!I208+'R2021'!I208)/3</f>
        <v>0</v>
      </c>
      <c r="J208" s="71"/>
      <c r="K208" s="84">
        <f t="shared" si="8"/>
        <v>0</v>
      </c>
      <c r="L208" s="67">
        <f t="shared" si="9"/>
        <v>0</v>
      </c>
    </row>
    <row r="209" spans="1:12" hidden="1" outlineLevel="1" x14ac:dyDescent="0.35">
      <c r="A209" s="37" t="s">
        <v>356</v>
      </c>
      <c r="B209" s="62" t="s">
        <v>357</v>
      </c>
      <c r="C209" s="54" t="s">
        <v>903</v>
      </c>
      <c r="D209" s="84">
        <f>('R2023'!D209+'R2022'!D209+'R2021'!D209)/3</f>
        <v>0</v>
      </c>
      <c r="E209" s="84">
        <f>('R2023'!E209+'R2022'!E209+'R2021'!E209)/3</f>
        <v>0</v>
      </c>
      <c r="F209" s="84">
        <f>('R2023'!F209+'R2022'!F209+'R2021'!F209)/3</f>
        <v>0</v>
      </c>
      <c r="G209" s="84">
        <f>('R2023'!G209+'R2022'!G209+'R2021'!G209)/3</f>
        <v>0</v>
      </c>
      <c r="H209" s="84">
        <f>('R2023'!H209+'R2022'!H209+'R2021'!H209)/3</f>
        <v>0</v>
      </c>
      <c r="I209" s="84">
        <f>('R2023'!I209+'R2022'!I209+'R2021'!I209)/3</f>
        <v>0</v>
      </c>
      <c r="J209" s="71"/>
      <c r="K209" s="84">
        <f t="shared" si="8"/>
        <v>0</v>
      </c>
      <c r="L209" s="67">
        <f t="shared" si="9"/>
        <v>0</v>
      </c>
    </row>
    <row r="210" spans="1:12" hidden="1" outlineLevel="1" x14ac:dyDescent="0.35">
      <c r="A210" s="37" t="s">
        <v>358</v>
      </c>
      <c r="B210" s="62" t="s">
        <v>359</v>
      </c>
      <c r="C210" s="54" t="s">
        <v>903</v>
      </c>
      <c r="D210" s="84">
        <f>('R2023'!D210+'R2022'!D210+'R2021'!D210)/3</f>
        <v>0</v>
      </c>
      <c r="E210" s="84">
        <f>('R2023'!E210+'R2022'!E210+'R2021'!E210)/3</f>
        <v>0</v>
      </c>
      <c r="F210" s="84">
        <f>('R2023'!F210+'R2022'!F210+'R2021'!F210)/3</f>
        <v>56356</v>
      </c>
      <c r="G210" s="84">
        <f>('R2023'!G210+'R2022'!G210+'R2021'!G210)/3</f>
        <v>5600</v>
      </c>
      <c r="H210" s="84">
        <f>('R2023'!H210+'R2022'!H210+'R2021'!H210)/3</f>
        <v>0</v>
      </c>
      <c r="I210" s="84">
        <f>('R2023'!I210+'R2022'!I210+'R2021'!I210)/3</f>
        <v>0</v>
      </c>
      <c r="J210" s="71"/>
      <c r="K210" s="84">
        <f t="shared" si="8"/>
        <v>0</v>
      </c>
      <c r="L210" s="67">
        <f t="shared" si="9"/>
        <v>61956</v>
      </c>
    </row>
    <row r="211" spans="1:12" hidden="1" outlineLevel="1" x14ac:dyDescent="0.35">
      <c r="A211" s="37" t="s">
        <v>360</v>
      </c>
      <c r="B211" s="62" t="s">
        <v>361</v>
      </c>
      <c r="C211" s="54" t="s">
        <v>903</v>
      </c>
      <c r="D211" s="84">
        <f>('R2023'!D211+'R2022'!D211+'R2021'!D211)/3</f>
        <v>0</v>
      </c>
      <c r="E211" s="84">
        <f>('R2023'!E211+'R2022'!E211+'R2021'!E211)/3</f>
        <v>0</v>
      </c>
      <c r="F211" s="84">
        <f>('R2023'!F211+'R2022'!F211+'R2021'!F211)/3</f>
        <v>44600.666666666664</v>
      </c>
      <c r="G211" s="84">
        <f>('R2023'!G211+'R2022'!G211+'R2021'!G211)/3</f>
        <v>23129.666666666668</v>
      </c>
      <c r="H211" s="84">
        <f>('R2023'!H211+'R2022'!H211+'R2021'!H211)/3</f>
        <v>126832.66666666667</v>
      </c>
      <c r="I211" s="84">
        <f>('R2023'!I211+'R2022'!I211+'R2021'!I211)/3</f>
        <v>0</v>
      </c>
      <c r="J211" s="71"/>
      <c r="K211" s="84">
        <f t="shared" si="8"/>
        <v>0</v>
      </c>
      <c r="L211" s="67">
        <f t="shared" si="9"/>
        <v>194563</v>
      </c>
    </row>
    <row r="212" spans="1:12" hidden="1" outlineLevel="1" x14ac:dyDescent="0.35">
      <c r="A212" s="37" t="s">
        <v>362</v>
      </c>
      <c r="B212" s="62" t="s">
        <v>363</v>
      </c>
      <c r="C212" s="54" t="s">
        <v>903</v>
      </c>
      <c r="D212" s="84">
        <f>('R2023'!D212+'R2022'!D212+'R2021'!D212)/3</f>
        <v>0</v>
      </c>
      <c r="E212" s="84">
        <f>('R2023'!E212+'R2022'!E212+'R2021'!E212)/3</f>
        <v>0</v>
      </c>
      <c r="F212" s="84">
        <f>('R2023'!F212+'R2022'!F212+'R2021'!F212)/3</f>
        <v>11444.666666666666</v>
      </c>
      <c r="G212" s="84">
        <f>('R2023'!G212+'R2022'!G212+'R2021'!G212)/3</f>
        <v>433.33333333333331</v>
      </c>
      <c r="H212" s="84">
        <f>('R2023'!H212+'R2022'!H212+'R2021'!H212)/3</f>
        <v>52900</v>
      </c>
      <c r="I212" s="84">
        <f>('R2023'!I212+'R2022'!I212+'R2021'!I212)/3</f>
        <v>0</v>
      </c>
      <c r="J212" s="71"/>
      <c r="K212" s="84">
        <f t="shared" si="8"/>
        <v>0</v>
      </c>
      <c r="L212" s="67">
        <f t="shared" si="9"/>
        <v>64778</v>
      </c>
    </row>
    <row r="213" spans="1:12" hidden="1" outlineLevel="1" x14ac:dyDescent="0.35">
      <c r="A213" s="37" t="s">
        <v>364</v>
      </c>
      <c r="B213" s="62" t="s">
        <v>365</v>
      </c>
      <c r="C213" s="54" t="s">
        <v>903</v>
      </c>
      <c r="D213" s="84" t="e">
        <f>('R2023'!D213+'R2022'!D213+'R2021'!D213)/3</f>
        <v>#VALUE!</v>
      </c>
      <c r="E213" s="84">
        <f>('R2023'!E213+'R2022'!E213+'R2021'!E213)/3</f>
        <v>0</v>
      </c>
      <c r="F213" s="84">
        <f>('R2023'!F213+'R2022'!F213+'R2021'!F213)/3</f>
        <v>35088.666666666664</v>
      </c>
      <c r="G213" s="84">
        <f>('R2023'!G213+'R2022'!G213+'R2021'!G213)/3</f>
        <v>9974.3333333333339</v>
      </c>
      <c r="H213" s="84">
        <f>('R2023'!H213+'R2022'!H213+'R2021'!H213)/3</f>
        <v>0</v>
      </c>
      <c r="I213" s="84">
        <f>('R2023'!I213+'R2022'!I213+'R2021'!I213)/3</f>
        <v>0</v>
      </c>
      <c r="J213" s="71"/>
      <c r="K213" s="84">
        <f t="shared" si="8"/>
        <v>0</v>
      </c>
      <c r="L213" s="67" t="e">
        <f t="shared" si="9"/>
        <v>#VALUE!</v>
      </c>
    </row>
    <row r="214" spans="1:12" hidden="1" outlineLevel="1" x14ac:dyDescent="0.35">
      <c r="A214" s="37" t="s">
        <v>366</v>
      </c>
      <c r="B214" s="62" t="s">
        <v>367</v>
      </c>
      <c r="C214" s="54" t="s">
        <v>903</v>
      </c>
      <c r="D214" s="84">
        <f>('R2023'!D214+'R2022'!D214+'R2021'!D214)/3</f>
        <v>0</v>
      </c>
      <c r="E214" s="84">
        <f>('R2023'!E214+'R2022'!E214+'R2021'!E214)/3</f>
        <v>0</v>
      </c>
      <c r="F214" s="84">
        <f>('R2023'!F214+'R2022'!F214+'R2021'!F214)/3</f>
        <v>0</v>
      </c>
      <c r="G214" s="84">
        <f>('R2023'!G214+'R2022'!G214+'R2021'!G214)/3</f>
        <v>40</v>
      </c>
      <c r="H214" s="84">
        <f>('R2023'!H214+'R2022'!H214+'R2021'!H214)/3</f>
        <v>0</v>
      </c>
      <c r="I214" s="84">
        <f>('R2023'!I214+'R2022'!I214+'R2021'!I214)/3</f>
        <v>0</v>
      </c>
      <c r="J214" s="71"/>
      <c r="K214" s="84">
        <f t="shared" si="8"/>
        <v>0</v>
      </c>
      <c r="L214" s="67">
        <f t="shared" si="9"/>
        <v>40</v>
      </c>
    </row>
    <row r="215" spans="1:12" hidden="1" outlineLevel="1" x14ac:dyDescent="0.35">
      <c r="A215" s="37" t="s">
        <v>368</v>
      </c>
      <c r="B215" s="62" t="s">
        <v>906</v>
      </c>
      <c r="C215" s="54" t="s">
        <v>903</v>
      </c>
      <c r="D215" s="84">
        <f>('R2023'!D215+'R2022'!D215+'R2021'!D215)/3</f>
        <v>0</v>
      </c>
      <c r="E215" s="84">
        <f>('R2023'!E215+'R2022'!E215+'R2021'!E215)/3</f>
        <v>0</v>
      </c>
      <c r="F215" s="84">
        <f>('R2023'!F215+'R2022'!F215+'R2021'!F215)/3</f>
        <v>0</v>
      </c>
      <c r="G215" s="84">
        <f>('R2023'!G215+'R2022'!G215+'R2021'!G215)/3</f>
        <v>0</v>
      </c>
      <c r="H215" s="84">
        <f>('R2023'!H215+'R2022'!H215+'R2021'!H215)/3</f>
        <v>0</v>
      </c>
      <c r="I215" s="84">
        <f>('R2023'!I215+'R2022'!I215+'R2021'!I215)/3</f>
        <v>0</v>
      </c>
      <c r="J215" s="71"/>
      <c r="K215" s="84">
        <f t="shared" si="8"/>
        <v>0</v>
      </c>
      <c r="L215" s="67">
        <f t="shared" si="9"/>
        <v>0</v>
      </c>
    </row>
    <row r="216" spans="1:12" hidden="1" outlineLevel="1" x14ac:dyDescent="0.35">
      <c r="A216" s="37" t="s">
        <v>370</v>
      </c>
      <c r="B216" s="62" t="s">
        <v>371</v>
      </c>
      <c r="C216" s="54" t="s">
        <v>903</v>
      </c>
      <c r="D216" s="84">
        <f>('R2023'!D216+'R2022'!D216+'R2021'!D216)/3</f>
        <v>0</v>
      </c>
      <c r="E216" s="84">
        <f>('R2023'!E216+'R2022'!E216+'R2021'!E216)/3</f>
        <v>0</v>
      </c>
      <c r="F216" s="84">
        <f>('R2023'!F216+'R2022'!F216+'R2021'!F216)/3</f>
        <v>0</v>
      </c>
      <c r="G216" s="84">
        <f>('R2023'!G216+'R2022'!G216+'R2021'!G216)/3</f>
        <v>0</v>
      </c>
      <c r="H216" s="84">
        <f>('R2023'!H216+'R2022'!H216+'R2021'!H216)/3</f>
        <v>0</v>
      </c>
      <c r="I216" s="84">
        <f>('R2023'!I216+'R2022'!I216+'R2021'!I216)/3</f>
        <v>0</v>
      </c>
      <c r="J216" s="71"/>
      <c r="K216" s="84">
        <f t="shared" si="8"/>
        <v>0</v>
      </c>
      <c r="L216" s="67">
        <f t="shared" si="9"/>
        <v>0</v>
      </c>
    </row>
    <row r="217" spans="1:12" hidden="1" outlineLevel="1" x14ac:dyDescent="0.35">
      <c r="A217" s="37" t="s">
        <v>372</v>
      </c>
      <c r="B217" s="62" t="s">
        <v>373</v>
      </c>
      <c r="C217" s="54" t="s">
        <v>903</v>
      </c>
      <c r="D217" s="84">
        <f>('R2023'!D217+'R2022'!D217+'R2021'!D217)/3</f>
        <v>0</v>
      </c>
      <c r="E217" s="84">
        <f>('R2023'!E217+'R2022'!E217+'R2021'!E217)/3</f>
        <v>0</v>
      </c>
      <c r="F217" s="84">
        <f>('R2023'!F217+'R2022'!F217+'R2021'!F217)/3</f>
        <v>55962</v>
      </c>
      <c r="G217" s="84">
        <f>('R2023'!G217+'R2022'!G217+'R2021'!G217)/3</f>
        <v>0</v>
      </c>
      <c r="H217" s="84">
        <f>('R2023'!H217+'R2022'!H217+'R2021'!H217)/3</f>
        <v>0</v>
      </c>
      <c r="I217" s="84">
        <f>('R2023'!I217+'R2022'!I217+'R2021'!I217)/3</f>
        <v>0</v>
      </c>
      <c r="J217" s="71"/>
      <c r="K217" s="84">
        <f t="shared" si="8"/>
        <v>0</v>
      </c>
      <c r="L217" s="67">
        <f t="shared" si="9"/>
        <v>55962</v>
      </c>
    </row>
    <row r="218" spans="1:12" hidden="1" outlineLevel="1" x14ac:dyDescent="0.35">
      <c r="A218" s="37" t="s">
        <v>374</v>
      </c>
      <c r="B218" s="62" t="s">
        <v>907</v>
      </c>
      <c r="C218" s="54" t="s">
        <v>903</v>
      </c>
      <c r="D218" s="84">
        <f>('R2023'!D218+'R2022'!D218+'R2021'!D218)/3</f>
        <v>0</v>
      </c>
      <c r="E218" s="84">
        <f>('R2023'!E218+'R2022'!E218+'R2021'!E218)/3</f>
        <v>0</v>
      </c>
      <c r="F218" s="84">
        <f>('R2023'!F218+'R2022'!F218+'R2021'!F218)/3</f>
        <v>130842.66666666667</v>
      </c>
      <c r="G218" s="84">
        <f>('R2023'!G218+'R2022'!G218+'R2021'!G218)/3</f>
        <v>109688.66666666667</v>
      </c>
      <c r="H218" s="84">
        <f>('R2023'!H218+'R2022'!H218+'R2021'!H218)/3</f>
        <v>122762.33333333333</v>
      </c>
      <c r="I218" s="84">
        <f>('R2023'!I218+'R2022'!I218+'R2021'!I218)/3</f>
        <v>0</v>
      </c>
      <c r="J218" s="71"/>
      <c r="K218" s="84">
        <f t="shared" si="8"/>
        <v>0</v>
      </c>
      <c r="L218" s="67">
        <f t="shared" si="9"/>
        <v>363293.66666666669</v>
      </c>
    </row>
    <row r="219" spans="1:12" hidden="1" outlineLevel="1" x14ac:dyDescent="0.35">
      <c r="A219" s="37" t="s">
        <v>375</v>
      </c>
      <c r="B219" s="62" t="s">
        <v>376</v>
      </c>
      <c r="C219" s="54" t="s">
        <v>903</v>
      </c>
      <c r="D219" s="84">
        <f>('R2023'!D219+'R2022'!D219+'R2021'!D219)/3</f>
        <v>0</v>
      </c>
      <c r="E219" s="84">
        <f>('R2023'!E219+'R2022'!E219+'R2021'!E219)/3</f>
        <v>0</v>
      </c>
      <c r="F219" s="84">
        <f>('R2023'!F219+'R2022'!F219+'R2021'!F219)/3</f>
        <v>0</v>
      </c>
      <c r="G219" s="84">
        <f>('R2023'!G219+'R2022'!G219+'R2021'!G219)/3</f>
        <v>0</v>
      </c>
      <c r="H219" s="84">
        <f>('R2023'!H219+'R2022'!H219+'R2021'!H219)/3</f>
        <v>0</v>
      </c>
      <c r="I219" s="84">
        <f>('R2023'!I219+'R2022'!I219+'R2021'!I219)/3</f>
        <v>0</v>
      </c>
      <c r="J219" s="71"/>
      <c r="K219" s="84">
        <f t="shared" si="8"/>
        <v>0</v>
      </c>
      <c r="L219" s="67">
        <f t="shared" si="9"/>
        <v>0</v>
      </c>
    </row>
    <row r="220" spans="1:12" hidden="1" outlineLevel="1" x14ac:dyDescent="0.35">
      <c r="A220" s="37" t="s">
        <v>377</v>
      </c>
      <c r="B220" s="62" t="s">
        <v>378</v>
      </c>
      <c r="C220" s="54" t="s">
        <v>903</v>
      </c>
      <c r="D220" s="84">
        <f>('R2023'!D220+'R2022'!D220+'R2021'!D220)/3</f>
        <v>0</v>
      </c>
      <c r="E220" s="84">
        <f>('R2023'!E220+'R2022'!E220+'R2021'!E220)/3</f>
        <v>0</v>
      </c>
      <c r="F220" s="84">
        <f>('R2023'!F220+'R2022'!F220+'R2021'!F220)/3</f>
        <v>0</v>
      </c>
      <c r="G220" s="84">
        <f>('R2023'!G220+'R2022'!G220+'R2021'!G220)/3</f>
        <v>0</v>
      </c>
      <c r="H220" s="84">
        <f>('R2023'!H220+'R2022'!H220+'R2021'!H220)/3</f>
        <v>0</v>
      </c>
      <c r="I220" s="84">
        <f>('R2023'!I220+'R2022'!I220+'R2021'!I220)/3</f>
        <v>0</v>
      </c>
      <c r="J220" s="71"/>
      <c r="K220" s="84">
        <f t="shared" si="8"/>
        <v>0</v>
      </c>
      <c r="L220" s="67">
        <f t="shared" si="9"/>
        <v>0</v>
      </c>
    </row>
    <row r="221" spans="1:12" hidden="1" outlineLevel="1" x14ac:dyDescent="0.35">
      <c r="A221" s="37" t="s">
        <v>379</v>
      </c>
      <c r="B221" s="62" t="s">
        <v>380</v>
      </c>
      <c r="C221" s="54" t="s">
        <v>903</v>
      </c>
      <c r="D221" s="84">
        <f>('R2023'!D221+'R2022'!D221+'R2021'!D221)/3</f>
        <v>0</v>
      </c>
      <c r="E221" s="84">
        <f>('R2023'!E221+'R2022'!E221+'R2021'!E221)/3</f>
        <v>0</v>
      </c>
      <c r="F221" s="84" t="e">
        <f>('R2023'!F221+'R2022'!F221+'R2021'!F221)/3</f>
        <v>#VALUE!</v>
      </c>
      <c r="G221" s="84">
        <f>('R2023'!G221+'R2022'!G221+'R2021'!G221)/3</f>
        <v>0</v>
      </c>
      <c r="H221" s="84">
        <f>('R2023'!H221+'R2022'!H221+'R2021'!H221)/3</f>
        <v>0</v>
      </c>
      <c r="I221" s="84">
        <f>('R2023'!I221+'R2022'!I221+'R2021'!I221)/3</f>
        <v>0</v>
      </c>
      <c r="J221" s="71"/>
      <c r="K221" s="84">
        <f t="shared" si="8"/>
        <v>0</v>
      </c>
      <c r="L221" s="67" t="e">
        <f t="shared" si="9"/>
        <v>#VALUE!</v>
      </c>
    </row>
    <row r="222" spans="1:12" hidden="1" outlineLevel="1" x14ac:dyDescent="0.35">
      <c r="A222" s="37" t="s">
        <v>381</v>
      </c>
      <c r="B222" s="62" t="s">
        <v>382</v>
      </c>
      <c r="C222" s="54" t="s">
        <v>903</v>
      </c>
      <c r="D222" s="84">
        <f>('R2023'!D222+'R2022'!D222+'R2021'!D222)/3</f>
        <v>0</v>
      </c>
      <c r="E222" s="84">
        <f>('R2023'!E222+'R2022'!E222+'R2021'!E222)/3</f>
        <v>0</v>
      </c>
      <c r="F222" s="84">
        <f>('R2023'!F222+'R2022'!F222+'R2021'!F222)/3</f>
        <v>0</v>
      </c>
      <c r="G222" s="84">
        <f>('R2023'!G222+'R2022'!G222+'R2021'!G222)/3</f>
        <v>106.66666666666667</v>
      </c>
      <c r="H222" s="84">
        <f>('R2023'!H222+'R2022'!H222+'R2021'!H222)/3</f>
        <v>0</v>
      </c>
      <c r="I222" s="84">
        <f>('R2023'!I222+'R2022'!I222+'R2021'!I222)/3</f>
        <v>0</v>
      </c>
      <c r="J222" s="71"/>
      <c r="K222" s="84">
        <f t="shared" si="8"/>
        <v>0</v>
      </c>
      <c r="L222" s="67">
        <f t="shared" si="9"/>
        <v>106.66666666666667</v>
      </c>
    </row>
    <row r="223" spans="1:12" hidden="1" outlineLevel="1" x14ac:dyDescent="0.35">
      <c r="A223" s="37" t="s">
        <v>383</v>
      </c>
      <c r="B223" s="62" t="s">
        <v>384</v>
      </c>
      <c r="C223" s="54" t="s">
        <v>903</v>
      </c>
      <c r="D223" s="84">
        <f>('R2023'!D223+'R2022'!D223+'R2021'!D223)/3</f>
        <v>41798.666666666664</v>
      </c>
      <c r="E223" s="84">
        <f>('R2023'!E223+'R2022'!E223+'R2021'!E223)/3</f>
        <v>0</v>
      </c>
      <c r="F223" s="84">
        <f>('R2023'!F223+'R2022'!F223+'R2021'!F223)/3</f>
        <v>0</v>
      </c>
      <c r="G223" s="84">
        <f>('R2023'!G223+'R2022'!G223+'R2021'!G223)/3</f>
        <v>0</v>
      </c>
      <c r="H223" s="84">
        <f>('R2023'!H223+'R2022'!H223+'R2021'!H223)/3</f>
        <v>0</v>
      </c>
      <c r="I223" s="84">
        <f>('R2023'!I223+'R2022'!I223+'R2021'!I223)/3</f>
        <v>0</v>
      </c>
      <c r="J223" s="71"/>
      <c r="K223" s="84">
        <f t="shared" si="8"/>
        <v>0</v>
      </c>
      <c r="L223" s="67">
        <f t="shared" si="9"/>
        <v>41798.666666666664</v>
      </c>
    </row>
    <row r="224" spans="1:12" hidden="1" outlineLevel="1" x14ac:dyDescent="0.35">
      <c r="A224" s="37" t="s">
        <v>385</v>
      </c>
      <c r="B224" s="62" t="s">
        <v>386</v>
      </c>
      <c r="C224" s="54" t="s">
        <v>903</v>
      </c>
      <c r="D224" s="84">
        <f>('R2023'!D224+'R2022'!D224+'R2021'!D224)/3</f>
        <v>0</v>
      </c>
      <c r="E224" s="84">
        <f>('R2023'!E224+'R2022'!E224+'R2021'!E224)/3</f>
        <v>0</v>
      </c>
      <c r="F224" s="84">
        <f>('R2023'!F224+'R2022'!F224+'R2021'!F224)/3</f>
        <v>0</v>
      </c>
      <c r="G224" s="84">
        <f>('R2023'!G224+'R2022'!G224+'R2021'!G224)/3</f>
        <v>0</v>
      </c>
      <c r="H224" s="84">
        <f>('R2023'!H224+'R2022'!H224+'R2021'!H224)/3</f>
        <v>0</v>
      </c>
      <c r="I224" s="84">
        <f>('R2023'!I224+'R2022'!I224+'R2021'!I224)/3</f>
        <v>0</v>
      </c>
      <c r="J224" s="71"/>
      <c r="K224" s="84">
        <f t="shared" si="8"/>
        <v>0</v>
      </c>
      <c r="L224" s="67">
        <f t="shared" si="9"/>
        <v>0</v>
      </c>
    </row>
    <row r="225" spans="1:12" hidden="1" outlineLevel="1" x14ac:dyDescent="0.35">
      <c r="A225" s="37">
        <v>3078</v>
      </c>
      <c r="B225" s="62" t="s">
        <v>388</v>
      </c>
      <c r="C225" s="54" t="s">
        <v>903</v>
      </c>
      <c r="D225" s="84">
        <f>('R2023'!D225+'R2022'!D225+'R2021'!D225)/3</f>
        <v>0</v>
      </c>
      <c r="E225" s="84">
        <f>('R2023'!E225+'R2022'!E225+'R2021'!E225)/3</f>
        <v>0</v>
      </c>
      <c r="F225" s="84">
        <f>('R2023'!F225+'R2022'!F225+'R2021'!F225)/3</f>
        <v>0</v>
      </c>
      <c r="G225" s="84">
        <f>('R2023'!G225+'R2022'!G225+'R2021'!G225)/3</f>
        <v>0</v>
      </c>
      <c r="H225" s="84">
        <f>('R2023'!H225+'R2022'!H225+'R2021'!H225)/3</f>
        <v>0</v>
      </c>
      <c r="I225" s="84">
        <f>('R2023'!I225+'R2022'!I225+'R2021'!I225)/3</f>
        <v>0</v>
      </c>
      <c r="J225" s="71"/>
      <c r="K225" s="84">
        <f t="shared" si="8"/>
        <v>0</v>
      </c>
      <c r="L225" s="67">
        <f t="shared" si="9"/>
        <v>0</v>
      </c>
    </row>
    <row r="226" spans="1:12" hidden="1" outlineLevel="1" x14ac:dyDescent="0.35">
      <c r="A226" s="37" t="s">
        <v>389</v>
      </c>
      <c r="B226" s="62" t="s">
        <v>390</v>
      </c>
      <c r="C226" s="54" t="s">
        <v>903</v>
      </c>
      <c r="D226" s="84">
        <f>('R2023'!D226+'R2022'!D226+'R2021'!D226)/3</f>
        <v>0</v>
      </c>
      <c r="E226" s="84">
        <f>('R2023'!E226+'R2022'!E226+'R2021'!E226)/3</f>
        <v>0</v>
      </c>
      <c r="F226" s="84">
        <f>('R2023'!F226+'R2022'!F226+'R2021'!F226)/3</f>
        <v>0</v>
      </c>
      <c r="G226" s="84">
        <f>('R2023'!G226+'R2022'!G226+'R2021'!G226)/3</f>
        <v>0</v>
      </c>
      <c r="H226" s="84">
        <f>('R2023'!H226+'R2022'!H226+'R2021'!H226)/3</f>
        <v>0</v>
      </c>
      <c r="I226" s="84">
        <f>('R2023'!I226+'R2022'!I226+'R2021'!I226)/3</f>
        <v>0</v>
      </c>
      <c r="J226" s="71"/>
      <c r="K226" s="84">
        <f t="shared" si="8"/>
        <v>0</v>
      </c>
      <c r="L226" s="67">
        <f t="shared" si="9"/>
        <v>0</v>
      </c>
    </row>
    <row r="227" spans="1:12" hidden="1" outlineLevel="1" x14ac:dyDescent="0.35">
      <c r="A227" s="37" t="s">
        <v>908</v>
      </c>
      <c r="B227" s="74" t="s">
        <v>909</v>
      </c>
      <c r="C227" s="54" t="s">
        <v>903</v>
      </c>
      <c r="D227" s="84">
        <f>('R2023'!D227+'R2022'!D227+'R2021'!D227)/3</f>
        <v>0</v>
      </c>
      <c r="E227" s="84">
        <f>('R2023'!E227+'R2022'!E227+'R2021'!E227)/3</f>
        <v>0</v>
      </c>
      <c r="F227" s="84">
        <f>('R2023'!F227+'R2022'!F227+'R2021'!F227)/3</f>
        <v>0</v>
      </c>
      <c r="G227" s="84">
        <f>('R2023'!G227+'R2022'!G227+'R2021'!G227)/3</f>
        <v>0</v>
      </c>
      <c r="H227" s="84">
        <f>('R2023'!H227+'R2022'!H227+'R2021'!H227)/3</f>
        <v>0</v>
      </c>
      <c r="I227" s="84">
        <f>('R2023'!I227+'R2022'!I227+'R2021'!I227)/3</f>
        <v>0</v>
      </c>
      <c r="J227" s="71"/>
      <c r="K227" s="84">
        <f t="shared" si="8"/>
        <v>0</v>
      </c>
      <c r="L227" s="67">
        <f t="shared" si="9"/>
        <v>0</v>
      </c>
    </row>
    <row r="228" spans="1:12" hidden="1" outlineLevel="1" x14ac:dyDescent="0.35">
      <c r="A228" s="37" t="s">
        <v>391</v>
      </c>
      <c r="B228" s="62" t="s">
        <v>392</v>
      </c>
      <c r="C228" s="54" t="s">
        <v>903</v>
      </c>
      <c r="D228" s="84">
        <f>('R2023'!D228+'R2022'!D228+'R2021'!D228)/3</f>
        <v>0</v>
      </c>
      <c r="E228" s="84">
        <f>('R2023'!E228+'R2022'!E228+'R2021'!E228)/3</f>
        <v>0</v>
      </c>
      <c r="F228" s="84">
        <f>('R2023'!F228+'R2022'!F228+'R2021'!F228)/3</f>
        <v>0</v>
      </c>
      <c r="G228" s="84">
        <f>('R2023'!G228+'R2022'!G228+'R2021'!G228)/3</f>
        <v>0</v>
      </c>
      <c r="H228" s="84">
        <f>('R2023'!H228+'R2022'!H228+'R2021'!H228)/3</f>
        <v>0</v>
      </c>
      <c r="I228" s="84">
        <f>('R2023'!I228+'R2022'!I228+'R2021'!I228)/3</f>
        <v>0</v>
      </c>
      <c r="J228" s="71"/>
      <c r="K228" s="84">
        <f t="shared" si="8"/>
        <v>0</v>
      </c>
      <c r="L228" s="67">
        <f t="shared" si="9"/>
        <v>0</v>
      </c>
    </row>
    <row r="229" spans="1:12" hidden="1" outlineLevel="1" x14ac:dyDescent="0.35">
      <c r="A229" s="37" t="s">
        <v>393</v>
      </c>
      <c r="B229" s="62" t="s">
        <v>394</v>
      </c>
      <c r="C229" s="54" t="s">
        <v>903</v>
      </c>
      <c r="D229" s="84">
        <f>('R2023'!D229+'R2022'!D229+'R2021'!D229)/3</f>
        <v>0</v>
      </c>
      <c r="E229" s="84">
        <f>('R2023'!E229+'R2022'!E229+'R2021'!E229)/3</f>
        <v>0</v>
      </c>
      <c r="F229" s="84">
        <f>('R2023'!F229+'R2022'!F229+'R2021'!F229)/3</f>
        <v>0</v>
      </c>
      <c r="G229" s="84">
        <f>('R2023'!G229+'R2022'!G229+'R2021'!G229)/3</f>
        <v>35619.666666666664</v>
      </c>
      <c r="H229" s="84">
        <f>('R2023'!H229+'R2022'!H229+'R2021'!H229)/3</f>
        <v>0</v>
      </c>
      <c r="I229" s="84">
        <f>('R2023'!I229+'R2022'!I229+'R2021'!I229)/3</f>
        <v>0</v>
      </c>
      <c r="J229" s="71"/>
      <c r="K229" s="84">
        <f t="shared" si="8"/>
        <v>0</v>
      </c>
      <c r="L229" s="67">
        <f t="shared" si="9"/>
        <v>35619.666666666664</v>
      </c>
    </row>
    <row r="230" spans="1:12" hidden="1" outlineLevel="1" x14ac:dyDescent="0.35">
      <c r="A230" s="37" t="s">
        <v>395</v>
      </c>
      <c r="B230" s="62" t="s">
        <v>396</v>
      </c>
      <c r="C230" s="54" t="s">
        <v>903</v>
      </c>
      <c r="D230" s="84">
        <f>('R2023'!D230+'R2022'!D230+'R2021'!D230)/3</f>
        <v>0</v>
      </c>
      <c r="E230" s="84">
        <f>('R2023'!E230+'R2022'!E230+'R2021'!E230)/3</f>
        <v>0</v>
      </c>
      <c r="F230" s="84">
        <f>('R2023'!F230+'R2022'!F230+'R2021'!F230)/3</f>
        <v>0</v>
      </c>
      <c r="G230" s="84">
        <f>('R2023'!G230+'R2022'!G230+'R2021'!G230)/3</f>
        <v>0</v>
      </c>
      <c r="H230" s="84">
        <f>('R2023'!H230+'R2022'!H230+'R2021'!H230)/3</f>
        <v>0</v>
      </c>
      <c r="I230" s="84">
        <f>('R2023'!I230+'R2022'!I230+'R2021'!I230)/3</f>
        <v>5000</v>
      </c>
      <c r="J230" s="71"/>
      <c r="K230" s="84">
        <f t="shared" si="8"/>
        <v>5000</v>
      </c>
      <c r="L230" s="67">
        <f t="shared" si="9"/>
        <v>5000</v>
      </c>
    </row>
    <row r="231" spans="1:12" hidden="1" outlineLevel="1" x14ac:dyDescent="0.35">
      <c r="A231" s="37" t="s">
        <v>397</v>
      </c>
      <c r="B231" s="62" t="s">
        <v>398</v>
      </c>
      <c r="C231" s="54" t="s">
        <v>903</v>
      </c>
      <c r="D231" s="84">
        <f>('R2023'!D231+'R2022'!D231+'R2021'!D231)/3</f>
        <v>0</v>
      </c>
      <c r="E231" s="84">
        <f>('R2023'!E231+'R2022'!E231+'R2021'!E231)/3</f>
        <v>0</v>
      </c>
      <c r="F231" s="84">
        <f>('R2023'!F231+'R2022'!F231+'R2021'!F231)/3</f>
        <v>0</v>
      </c>
      <c r="G231" s="84">
        <f>('R2023'!G231+'R2022'!G231+'R2021'!G231)/3</f>
        <v>73</v>
      </c>
      <c r="H231" s="84">
        <f>('R2023'!H231+'R2022'!H231+'R2021'!H231)/3</f>
        <v>0</v>
      </c>
      <c r="I231" s="84">
        <f>('R2023'!I231+'R2022'!I231+'R2021'!I231)/3</f>
        <v>0</v>
      </c>
      <c r="J231" s="71"/>
      <c r="K231" s="84">
        <f t="shared" si="8"/>
        <v>0</v>
      </c>
      <c r="L231" s="67">
        <f t="shared" si="9"/>
        <v>73</v>
      </c>
    </row>
    <row r="232" spans="1:12" hidden="1" outlineLevel="1" x14ac:dyDescent="0.35">
      <c r="A232" s="37" t="s">
        <v>399</v>
      </c>
      <c r="B232" s="62" t="s">
        <v>400</v>
      </c>
      <c r="C232" s="54" t="s">
        <v>903</v>
      </c>
      <c r="D232" s="84">
        <f>('R2023'!D232+'R2022'!D232+'R2021'!D232)/3</f>
        <v>0</v>
      </c>
      <c r="E232" s="84">
        <f>('R2023'!E232+'R2022'!E232+'R2021'!E232)/3</f>
        <v>0</v>
      </c>
      <c r="F232" s="84">
        <f>('R2023'!F232+'R2022'!F232+'R2021'!F232)/3</f>
        <v>0</v>
      </c>
      <c r="G232" s="84">
        <f>('R2023'!G232+'R2022'!G232+'R2021'!G232)/3</f>
        <v>0</v>
      </c>
      <c r="H232" s="84">
        <f>('R2023'!H232+'R2022'!H232+'R2021'!H232)/3</f>
        <v>0</v>
      </c>
      <c r="I232" s="84">
        <f>('R2023'!I232+'R2022'!I232+'R2021'!I232)/3</f>
        <v>0</v>
      </c>
      <c r="J232" s="71"/>
      <c r="K232" s="84">
        <f t="shared" si="8"/>
        <v>0</v>
      </c>
      <c r="L232" s="67">
        <f t="shared" si="9"/>
        <v>0</v>
      </c>
    </row>
    <row r="233" spans="1:12" hidden="1" outlineLevel="1" x14ac:dyDescent="0.35">
      <c r="A233" s="37" t="s">
        <v>401</v>
      </c>
      <c r="B233" s="62" t="s">
        <v>402</v>
      </c>
      <c r="C233" s="54" t="s">
        <v>903</v>
      </c>
      <c r="D233" s="84">
        <f>('R2023'!D233+'R2022'!D233+'R2021'!D233)/3</f>
        <v>0</v>
      </c>
      <c r="E233" s="84">
        <f>('R2023'!E233+'R2022'!E233+'R2021'!E233)/3</f>
        <v>0</v>
      </c>
      <c r="F233" s="84">
        <f>('R2023'!F233+'R2022'!F233+'R2021'!F233)/3</f>
        <v>0</v>
      </c>
      <c r="G233" s="84">
        <f>('R2023'!G233+'R2022'!G233+'R2021'!G233)/3</f>
        <v>545.66666666666663</v>
      </c>
      <c r="H233" s="84">
        <f>('R2023'!H233+'R2022'!H233+'R2021'!H233)/3</f>
        <v>0</v>
      </c>
      <c r="I233" s="84">
        <f>('R2023'!I233+'R2022'!I233+'R2021'!I233)/3</f>
        <v>0</v>
      </c>
      <c r="J233" s="71"/>
      <c r="K233" s="84">
        <f t="shared" si="8"/>
        <v>0</v>
      </c>
      <c r="L233" s="67">
        <f t="shared" si="9"/>
        <v>545.66666666666663</v>
      </c>
    </row>
    <row r="234" spans="1:12" hidden="1" outlineLevel="1" x14ac:dyDescent="0.35">
      <c r="A234" s="37" t="s">
        <v>403</v>
      </c>
      <c r="B234" s="62" t="s">
        <v>404</v>
      </c>
      <c r="C234" s="54" t="s">
        <v>903</v>
      </c>
      <c r="D234" s="84">
        <f>('R2023'!D234+'R2022'!D234+'R2021'!D234)/3</f>
        <v>0</v>
      </c>
      <c r="E234" s="84">
        <f>('R2023'!E234+'R2022'!E234+'R2021'!E234)/3</f>
        <v>0</v>
      </c>
      <c r="F234" s="84">
        <f>('R2023'!F234+'R2022'!F234+'R2021'!F234)/3</f>
        <v>0</v>
      </c>
      <c r="G234" s="84">
        <f>('R2023'!G234+'R2022'!G234+'R2021'!G234)/3</f>
        <v>0</v>
      </c>
      <c r="H234" s="84">
        <f>('R2023'!H234+'R2022'!H234+'R2021'!H234)/3</f>
        <v>0</v>
      </c>
      <c r="I234" s="84">
        <f>('R2023'!I234+'R2022'!I234+'R2021'!I234)/3</f>
        <v>0</v>
      </c>
      <c r="J234" s="71"/>
      <c r="K234" s="84">
        <f t="shared" si="8"/>
        <v>0</v>
      </c>
      <c r="L234" s="67">
        <f t="shared" si="9"/>
        <v>0</v>
      </c>
    </row>
    <row r="235" spans="1:12" hidden="1" outlineLevel="1" x14ac:dyDescent="0.35">
      <c r="A235" s="37" t="s">
        <v>405</v>
      </c>
      <c r="B235" s="62" t="s">
        <v>406</v>
      </c>
      <c r="C235" s="54" t="s">
        <v>903</v>
      </c>
      <c r="D235" s="84">
        <f>('R2023'!D235+'R2022'!D235+'R2021'!D235)/3</f>
        <v>0</v>
      </c>
      <c r="E235" s="84">
        <f>('R2023'!E235+'R2022'!E235+'R2021'!E235)/3</f>
        <v>0</v>
      </c>
      <c r="F235" s="84">
        <f>('R2023'!F235+'R2022'!F235+'R2021'!F235)/3</f>
        <v>93069</v>
      </c>
      <c r="G235" s="84">
        <f>('R2023'!G235+'R2022'!G235+'R2021'!G235)/3</f>
        <v>0</v>
      </c>
      <c r="H235" s="84">
        <f>('R2023'!H235+'R2022'!H235+'R2021'!H235)/3</f>
        <v>0</v>
      </c>
      <c r="I235" s="84">
        <f>('R2023'!I235+'R2022'!I235+'R2021'!I235)/3</f>
        <v>0</v>
      </c>
      <c r="J235" s="71"/>
      <c r="K235" s="84">
        <f t="shared" si="8"/>
        <v>0</v>
      </c>
      <c r="L235" s="67">
        <f t="shared" si="9"/>
        <v>93069</v>
      </c>
    </row>
    <row r="236" spans="1:12" hidden="1" outlineLevel="1" x14ac:dyDescent="0.35">
      <c r="A236" s="37" t="s">
        <v>407</v>
      </c>
      <c r="B236" s="62" t="s">
        <v>408</v>
      </c>
      <c r="C236" s="54" t="s">
        <v>903</v>
      </c>
      <c r="D236" s="84">
        <f>('R2023'!D236+'R2022'!D236+'R2021'!D236)/3</f>
        <v>0</v>
      </c>
      <c r="E236" s="84">
        <f>('R2023'!E236+'R2022'!E236+'R2021'!E236)/3</f>
        <v>0</v>
      </c>
      <c r="F236" s="84">
        <f>('R2023'!F236+'R2022'!F236+'R2021'!F236)/3</f>
        <v>109940.66666666667</v>
      </c>
      <c r="G236" s="84">
        <f>('R2023'!G236+'R2022'!G236+'R2021'!G236)/3</f>
        <v>0</v>
      </c>
      <c r="H236" s="84">
        <f>('R2023'!H236+'R2022'!H236+'R2021'!H236)/3</f>
        <v>290543.33333333331</v>
      </c>
      <c r="I236" s="84">
        <f>('R2023'!I236+'R2022'!I236+'R2021'!I236)/3</f>
        <v>63893.333333333336</v>
      </c>
      <c r="J236" s="71"/>
      <c r="K236" s="84">
        <f t="shared" si="8"/>
        <v>63893.333333333336</v>
      </c>
      <c r="L236" s="67">
        <f t="shared" si="9"/>
        <v>464377.33333333331</v>
      </c>
    </row>
    <row r="237" spans="1:12" hidden="1" outlineLevel="1" x14ac:dyDescent="0.35">
      <c r="A237" s="37" t="s">
        <v>409</v>
      </c>
      <c r="B237" s="62" t="s">
        <v>410</v>
      </c>
      <c r="C237" s="54" t="s">
        <v>903</v>
      </c>
      <c r="D237" s="84">
        <f>('R2023'!D237+'R2022'!D237+'R2021'!D237)/3</f>
        <v>0</v>
      </c>
      <c r="E237" s="84">
        <f>('R2023'!E237+'R2022'!E237+'R2021'!E237)/3</f>
        <v>0</v>
      </c>
      <c r="F237" s="84">
        <f>('R2023'!F237+'R2022'!F237+'R2021'!F237)/3</f>
        <v>0</v>
      </c>
      <c r="G237" s="84">
        <f>('R2023'!G237+'R2022'!G237+'R2021'!G237)/3</f>
        <v>0</v>
      </c>
      <c r="H237" s="84">
        <f>('R2023'!H237+'R2022'!H237+'R2021'!H237)/3</f>
        <v>0</v>
      </c>
      <c r="I237" s="84">
        <f>('R2023'!I237+'R2022'!I237+'R2021'!I237)/3</f>
        <v>0</v>
      </c>
      <c r="J237" s="71"/>
      <c r="K237" s="84">
        <f t="shared" si="8"/>
        <v>0</v>
      </c>
      <c r="L237" s="67">
        <f t="shared" si="9"/>
        <v>0</v>
      </c>
    </row>
    <row r="238" spans="1:12" hidden="1" outlineLevel="1" x14ac:dyDescent="0.35">
      <c r="A238" s="37" t="s">
        <v>411</v>
      </c>
      <c r="B238" s="62" t="s">
        <v>412</v>
      </c>
      <c r="C238" s="54" t="s">
        <v>903</v>
      </c>
      <c r="D238" s="84">
        <f>('R2023'!D238+'R2022'!D238+'R2021'!D238)/3</f>
        <v>0</v>
      </c>
      <c r="E238" s="84">
        <f>('R2023'!E238+'R2022'!E238+'R2021'!E238)/3</f>
        <v>756.66666666666663</v>
      </c>
      <c r="F238" s="84">
        <f>('R2023'!F238+'R2022'!F238+'R2021'!F238)/3</f>
        <v>0</v>
      </c>
      <c r="G238" s="84">
        <f>('R2023'!G238+'R2022'!G238+'R2021'!G238)/3</f>
        <v>21440.666666666668</v>
      </c>
      <c r="H238" s="84">
        <f>('R2023'!H238+'R2022'!H238+'R2021'!H238)/3</f>
        <v>0</v>
      </c>
      <c r="I238" s="84">
        <f>('R2023'!I238+'R2022'!I238+'R2021'!I238)/3</f>
        <v>0</v>
      </c>
      <c r="J238" s="71"/>
      <c r="K238" s="84">
        <f t="shared" si="8"/>
        <v>0</v>
      </c>
      <c r="L238" s="67">
        <f t="shared" si="9"/>
        <v>22197.333333333336</v>
      </c>
    </row>
    <row r="239" spans="1:12" hidden="1" outlineLevel="1" x14ac:dyDescent="0.35">
      <c r="A239" s="37" t="s">
        <v>413</v>
      </c>
      <c r="B239" s="62" t="s">
        <v>414</v>
      </c>
      <c r="C239" s="54" t="s">
        <v>903</v>
      </c>
      <c r="D239" s="84">
        <f>('R2023'!D239+'R2022'!D239+'R2021'!D239)/3</f>
        <v>0</v>
      </c>
      <c r="E239" s="84">
        <f>('R2023'!E239+'R2022'!E239+'R2021'!E239)/3</f>
        <v>165012.66666666666</v>
      </c>
      <c r="F239" s="84">
        <f>('R2023'!F239+'R2022'!F239+'R2021'!F239)/3</f>
        <v>153315</v>
      </c>
      <c r="G239" s="84">
        <f>('R2023'!G239+'R2022'!G239+'R2021'!G239)/3</f>
        <v>489632.66666666669</v>
      </c>
      <c r="H239" s="84">
        <f>('R2023'!H239+'R2022'!H239+'R2021'!H239)/3</f>
        <v>0</v>
      </c>
      <c r="I239" s="84">
        <f>('R2023'!I239+'R2022'!I239+'R2021'!I239)/3</f>
        <v>98683.666666666672</v>
      </c>
      <c r="J239" s="71"/>
      <c r="K239" s="84">
        <f t="shared" si="8"/>
        <v>98683.666666666672</v>
      </c>
      <c r="L239" s="67">
        <f t="shared" si="9"/>
        <v>906644</v>
      </c>
    </row>
    <row r="240" spans="1:12" hidden="1" outlineLevel="1" x14ac:dyDescent="0.35">
      <c r="A240" s="37" t="s">
        <v>415</v>
      </c>
      <c r="B240" s="62" t="s">
        <v>416</v>
      </c>
      <c r="C240" s="54" t="s">
        <v>903</v>
      </c>
      <c r="D240" s="84">
        <f>('R2023'!D240+'R2022'!D240+'R2021'!D240)/3</f>
        <v>0</v>
      </c>
      <c r="E240" s="84">
        <f>('R2023'!E240+'R2022'!E240+'R2021'!E240)/3</f>
        <v>33766.666666666664</v>
      </c>
      <c r="F240" s="84">
        <f>('R2023'!F240+'R2022'!F240+'R2021'!F240)/3</f>
        <v>122128</v>
      </c>
      <c r="G240" s="84">
        <f>('R2023'!G240+'R2022'!G240+'R2021'!G240)/3</f>
        <v>30000</v>
      </c>
      <c r="H240" s="84">
        <f>('R2023'!H240+'R2022'!H240+'R2021'!H240)/3</f>
        <v>0</v>
      </c>
      <c r="I240" s="84">
        <f>('R2023'!I240+'R2022'!I240+'R2021'!I240)/3</f>
        <v>35911</v>
      </c>
      <c r="J240" s="71"/>
      <c r="K240" s="84">
        <f t="shared" si="8"/>
        <v>35911</v>
      </c>
      <c r="L240" s="67">
        <f t="shared" si="9"/>
        <v>221805.66666666666</v>
      </c>
    </row>
    <row r="241" spans="1:12" hidden="1" outlineLevel="1" x14ac:dyDescent="0.35">
      <c r="A241" s="37" t="s">
        <v>417</v>
      </c>
      <c r="B241" s="62" t="s">
        <v>418</v>
      </c>
      <c r="C241" s="54" t="s">
        <v>903</v>
      </c>
      <c r="D241" s="84">
        <f>('R2023'!D241+'R2022'!D241+'R2021'!D241)/3</f>
        <v>0</v>
      </c>
      <c r="E241" s="84">
        <f>('R2023'!E241+'R2022'!E241+'R2021'!E241)/3</f>
        <v>0</v>
      </c>
      <c r="F241" s="84">
        <f>('R2023'!F241+'R2022'!F241+'R2021'!F241)/3</f>
        <v>0</v>
      </c>
      <c r="G241" s="84">
        <f>('R2023'!G241+'R2022'!G241+'R2021'!G241)/3</f>
        <v>0</v>
      </c>
      <c r="H241" s="84">
        <f>('R2023'!H241+'R2022'!H241+'R2021'!H241)/3</f>
        <v>0</v>
      </c>
      <c r="I241" s="84">
        <f>('R2023'!I241+'R2022'!I241+'R2021'!I241)/3</f>
        <v>0</v>
      </c>
      <c r="J241" s="71"/>
      <c r="K241" s="84">
        <f t="shared" si="8"/>
        <v>0</v>
      </c>
      <c r="L241" s="67">
        <f t="shared" si="9"/>
        <v>0</v>
      </c>
    </row>
    <row r="242" spans="1:12" hidden="1" outlineLevel="1" x14ac:dyDescent="0.35">
      <c r="A242" s="37" t="s">
        <v>419</v>
      </c>
      <c r="B242" s="62" t="s">
        <v>420</v>
      </c>
      <c r="C242" s="54" t="s">
        <v>903</v>
      </c>
      <c r="D242" s="84">
        <f>('R2023'!D242+'R2022'!D242+'R2021'!D242)/3</f>
        <v>0</v>
      </c>
      <c r="E242" s="84">
        <f>('R2023'!E242+'R2022'!E242+'R2021'!E242)/3</f>
        <v>0</v>
      </c>
      <c r="F242" s="84">
        <f>('R2023'!F242+'R2022'!F242+'R2021'!F242)/3</f>
        <v>0</v>
      </c>
      <c r="G242" s="84">
        <f>('R2023'!G242+'R2022'!G242+'R2021'!G242)/3</f>
        <v>28826.666666666668</v>
      </c>
      <c r="H242" s="84">
        <f>('R2023'!H242+'R2022'!H242+'R2021'!H242)/3</f>
        <v>0</v>
      </c>
      <c r="I242" s="84">
        <f>('R2023'!I242+'R2022'!I242+'R2021'!I242)/3</f>
        <v>0</v>
      </c>
      <c r="J242" s="71"/>
      <c r="K242" s="84">
        <f t="shared" si="8"/>
        <v>0</v>
      </c>
      <c r="L242" s="67">
        <f t="shared" si="9"/>
        <v>28826.666666666668</v>
      </c>
    </row>
    <row r="243" spans="1:12" hidden="1" outlineLevel="1" x14ac:dyDescent="0.35">
      <c r="A243" s="37" t="s">
        <v>912</v>
      </c>
      <c r="B243" s="62" t="s">
        <v>913</v>
      </c>
      <c r="C243" s="54" t="s">
        <v>903</v>
      </c>
      <c r="D243" s="84">
        <f>('R2023'!D243+'R2022'!D243+'R2021'!D243)/3</f>
        <v>0</v>
      </c>
      <c r="E243" s="84">
        <f>('R2023'!E243+'R2022'!E243+'R2021'!E243)/3</f>
        <v>0</v>
      </c>
      <c r="F243" s="84">
        <f>('R2023'!F243+'R2022'!F243+'R2021'!F243)/3</f>
        <v>0</v>
      </c>
      <c r="G243" s="84">
        <f>('R2023'!G243+'R2022'!G243+'R2021'!G243)/3</f>
        <v>0</v>
      </c>
      <c r="H243" s="84">
        <f>('R2023'!H243+'R2022'!H243+'R2021'!H243)/3</f>
        <v>0</v>
      </c>
      <c r="I243" s="84">
        <f>('R2023'!I243+'R2022'!I243+'R2021'!I243)/3</f>
        <v>20700</v>
      </c>
      <c r="J243" s="71"/>
      <c r="K243" s="84">
        <f t="shared" si="8"/>
        <v>20700</v>
      </c>
      <c r="L243" s="67">
        <f t="shared" si="9"/>
        <v>20700</v>
      </c>
    </row>
    <row r="244" spans="1:12" hidden="1" outlineLevel="1" x14ac:dyDescent="0.35">
      <c r="A244" s="37" t="s">
        <v>421</v>
      </c>
      <c r="B244" s="62" t="s">
        <v>422</v>
      </c>
      <c r="C244" s="54" t="s">
        <v>903</v>
      </c>
      <c r="D244" s="84">
        <f>('R2023'!D244+'R2022'!D244+'R2021'!D244)/3</f>
        <v>0</v>
      </c>
      <c r="E244" s="84">
        <f>('R2023'!E244+'R2022'!E244+'R2021'!E244)/3</f>
        <v>0</v>
      </c>
      <c r="F244" s="84">
        <f>('R2023'!F244+'R2022'!F244+'R2021'!F244)/3</f>
        <v>0</v>
      </c>
      <c r="G244" s="84">
        <f>('R2023'!G244+'R2022'!G244+'R2021'!G244)/3</f>
        <v>0</v>
      </c>
      <c r="H244" s="84">
        <f>('R2023'!H244+'R2022'!H244+'R2021'!H244)/3</f>
        <v>0</v>
      </c>
      <c r="I244" s="84">
        <f>('R2023'!I244+'R2022'!I244+'R2021'!I244)/3</f>
        <v>0</v>
      </c>
      <c r="J244" s="71"/>
      <c r="K244" s="84">
        <f t="shared" si="8"/>
        <v>0</v>
      </c>
      <c r="L244" s="67">
        <f t="shared" si="9"/>
        <v>0</v>
      </c>
    </row>
    <row r="245" spans="1:12" hidden="1" outlineLevel="1" x14ac:dyDescent="0.35">
      <c r="A245" s="37" t="s">
        <v>423</v>
      </c>
      <c r="B245" s="74" t="s">
        <v>424</v>
      </c>
      <c r="C245" s="54" t="s">
        <v>903</v>
      </c>
      <c r="D245" s="84">
        <f>('R2023'!D245+'R2022'!D245+'R2021'!D245)/3</f>
        <v>0</v>
      </c>
      <c r="E245" s="84">
        <f>('R2023'!E245+'R2022'!E245+'R2021'!E245)/3</f>
        <v>162429</v>
      </c>
      <c r="F245" s="84">
        <f>('R2023'!F245+'R2022'!F245+'R2021'!F245)/3</f>
        <v>0</v>
      </c>
      <c r="G245" s="84">
        <f>('R2023'!G245+'R2022'!G245+'R2021'!G245)/3</f>
        <v>0</v>
      </c>
      <c r="H245" s="84">
        <f>('R2023'!H245+'R2022'!H245+'R2021'!H245)/3</f>
        <v>0</v>
      </c>
      <c r="I245" s="84">
        <f>('R2023'!I245+'R2022'!I245+'R2021'!I245)/3</f>
        <v>0</v>
      </c>
      <c r="J245" s="71"/>
      <c r="K245" s="84">
        <f t="shared" si="8"/>
        <v>0</v>
      </c>
      <c r="L245" s="67">
        <f t="shared" si="9"/>
        <v>162429</v>
      </c>
    </row>
    <row r="246" spans="1:12" hidden="1" outlineLevel="1" x14ac:dyDescent="0.35">
      <c r="A246" s="37" t="s">
        <v>425</v>
      </c>
      <c r="B246" s="74" t="s">
        <v>426</v>
      </c>
      <c r="C246" s="54" t="s">
        <v>903</v>
      </c>
      <c r="D246" s="84">
        <f>('R2023'!D246+'R2022'!D246+'R2021'!D246)/3</f>
        <v>0</v>
      </c>
      <c r="E246" s="84">
        <f>('R2023'!E246+'R2022'!E246+'R2021'!E246)/3</f>
        <v>0</v>
      </c>
      <c r="F246" s="84">
        <f>('R2023'!F246+'R2022'!F246+'R2021'!F246)/3</f>
        <v>4316.666666666667</v>
      </c>
      <c r="G246" s="84">
        <f>('R2023'!G246+'R2022'!G246+'R2021'!G246)/3</f>
        <v>0</v>
      </c>
      <c r="H246" s="84">
        <f>('R2023'!H246+'R2022'!H246+'R2021'!H246)/3</f>
        <v>0</v>
      </c>
      <c r="I246" s="84">
        <f>('R2023'!I246+'R2022'!I246+'R2021'!I246)/3</f>
        <v>0</v>
      </c>
      <c r="J246" s="71"/>
      <c r="K246" s="84">
        <f t="shared" si="8"/>
        <v>0</v>
      </c>
      <c r="L246" s="67">
        <f t="shared" si="9"/>
        <v>4316.666666666667</v>
      </c>
    </row>
    <row r="247" spans="1:12" hidden="1" outlineLevel="1" x14ac:dyDescent="0.35">
      <c r="A247" s="37" t="s">
        <v>427</v>
      </c>
      <c r="B247" s="62" t="s">
        <v>428</v>
      </c>
      <c r="C247" s="54" t="s">
        <v>903</v>
      </c>
      <c r="D247" s="84">
        <f>('R2023'!D247+'R2022'!D247+'R2021'!D247)/3</f>
        <v>0</v>
      </c>
      <c r="E247" s="84">
        <f>('R2023'!E247+'R2022'!E247+'R2021'!E247)/3</f>
        <v>0</v>
      </c>
      <c r="F247" s="84">
        <f>('R2023'!F247+'R2022'!F247+'R2021'!F247)/3</f>
        <v>15811.666666666666</v>
      </c>
      <c r="G247" s="84">
        <f>('R2023'!G247+'R2022'!G247+'R2021'!G247)/3</f>
        <v>0</v>
      </c>
      <c r="H247" s="84">
        <f>('R2023'!H247+'R2022'!H247+'R2021'!H247)/3</f>
        <v>0</v>
      </c>
      <c r="I247" s="84">
        <f>('R2023'!I247+'R2022'!I247+'R2021'!I247)/3</f>
        <v>0</v>
      </c>
      <c r="J247" s="71"/>
      <c r="K247" s="84">
        <f t="shared" si="8"/>
        <v>0</v>
      </c>
      <c r="L247" s="67">
        <f t="shared" si="9"/>
        <v>15811.666666666666</v>
      </c>
    </row>
    <row r="248" spans="1:12" hidden="1" outlineLevel="1" x14ac:dyDescent="0.35">
      <c r="A248" s="37" t="s">
        <v>429</v>
      </c>
      <c r="B248" s="62" t="s">
        <v>430</v>
      </c>
      <c r="C248" s="54" t="s">
        <v>903</v>
      </c>
      <c r="D248" s="84">
        <f>('R2023'!D248+'R2022'!D248+'R2021'!D248)/3</f>
        <v>0</v>
      </c>
      <c r="E248" s="84">
        <f>('R2023'!E248+'R2022'!E248+'R2021'!E248)/3</f>
        <v>152.66666666666666</v>
      </c>
      <c r="F248" s="84">
        <f>('R2023'!F248+'R2022'!F248+'R2021'!F248)/3</f>
        <v>0</v>
      </c>
      <c r="G248" s="84">
        <f>('R2023'!G248+'R2022'!G248+'R2021'!G248)/3</f>
        <v>0</v>
      </c>
      <c r="H248" s="84">
        <f>('R2023'!H248+'R2022'!H248+'R2021'!H248)/3</f>
        <v>127996.66666666667</v>
      </c>
      <c r="I248" s="84">
        <f>('R2023'!I248+'R2022'!I248+'R2021'!I248)/3</f>
        <v>0</v>
      </c>
      <c r="J248" s="71"/>
      <c r="K248" s="84">
        <f t="shared" si="8"/>
        <v>0</v>
      </c>
      <c r="L248" s="67">
        <f t="shared" si="9"/>
        <v>128149.33333333334</v>
      </c>
    </row>
    <row r="249" spans="1:12" hidden="1" outlineLevel="1" x14ac:dyDescent="0.35">
      <c r="A249" s="37" t="s">
        <v>431</v>
      </c>
      <c r="B249" s="62" t="s">
        <v>432</v>
      </c>
      <c r="C249" s="54" t="s">
        <v>903</v>
      </c>
      <c r="D249" s="84">
        <f>('R2023'!D249+'R2022'!D249+'R2021'!D249)/3</f>
        <v>0</v>
      </c>
      <c r="E249" s="84">
        <f>('R2023'!E249+'R2022'!E249+'R2021'!E249)/3</f>
        <v>0</v>
      </c>
      <c r="F249" s="84">
        <f>('R2023'!F249+'R2022'!F249+'R2021'!F249)/3</f>
        <v>0</v>
      </c>
      <c r="G249" s="84">
        <f>('R2023'!G249+'R2022'!G249+'R2021'!G249)/3</f>
        <v>0</v>
      </c>
      <c r="H249" s="84">
        <f>('R2023'!H249+'R2022'!H249+'R2021'!H249)/3</f>
        <v>0</v>
      </c>
      <c r="I249" s="84">
        <f>('R2023'!I249+'R2022'!I249+'R2021'!I249)/3</f>
        <v>0</v>
      </c>
      <c r="J249" s="71"/>
      <c r="K249" s="84">
        <f t="shared" si="8"/>
        <v>0</v>
      </c>
      <c r="L249" s="67">
        <f t="shared" si="9"/>
        <v>0</v>
      </c>
    </row>
    <row r="250" spans="1:12" hidden="1" outlineLevel="1" x14ac:dyDescent="0.35">
      <c r="A250" s="37" t="s">
        <v>433</v>
      </c>
      <c r="B250" s="62" t="s">
        <v>434</v>
      </c>
      <c r="C250" s="54" t="s">
        <v>903</v>
      </c>
      <c r="D250" s="84">
        <f>('R2023'!D250+'R2022'!D250+'R2021'!D250)/3</f>
        <v>0</v>
      </c>
      <c r="E250" s="84">
        <f>('R2023'!E250+'R2022'!E250+'R2021'!E250)/3</f>
        <v>0</v>
      </c>
      <c r="F250" s="84">
        <f>('R2023'!F250+'R2022'!F250+'R2021'!F250)/3</f>
        <v>0</v>
      </c>
      <c r="G250" s="84">
        <f>('R2023'!G250+'R2022'!G250+'R2021'!G250)/3</f>
        <v>0</v>
      </c>
      <c r="H250" s="84">
        <f>('R2023'!H250+'R2022'!H250+'R2021'!H250)/3</f>
        <v>0</v>
      </c>
      <c r="I250" s="84">
        <f>('R2023'!I250+'R2022'!I250+'R2021'!I250)/3</f>
        <v>0</v>
      </c>
      <c r="J250" s="71"/>
      <c r="K250" s="84">
        <f t="shared" si="8"/>
        <v>0</v>
      </c>
      <c r="L250" s="67">
        <f t="shared" si="9"/>
        <v>0</v>
      </c>
    </row>
    <row r="251" spans="1:12" hidden="1" outlineLevel="1" x14ac:dyDescent="0.35">
      <c r="A251" s="37" t="s">
        <v>435</v>
      </c>
      <c r="B251" s="62" t="s">
        <v>436</v>
      </c>
      <c r="C251" s="54" t="s">
        <v>903</v>
      </c>
      <c r="D251" s="84">
        <f>('R2023'!D251+'R2022'!D251+'R2021'!D251)/3</f>
        <v>0</v>
      </c>
      <c r="E251" s="84">
        <f>('R2023'!E251+'R2022'!E251+'R2021'!E251)/3</f>
        <v>0</v>
      </c>
      <c r="F251" s="84">
        <f>('R2023'!F251+'R2022'!F251+'R2021'!F251)/3</f>
        <v>0</v>
      </c>
      <c r="G251" s="84">
        <f>('R2023'!G251+'R2022'!G251+'R2021'!G251)/3</f>
        <v>0</v>
      </c>
      <c r="H251" s="84">
        <f>('R2023'!H251+'R2022'!H251+'R2021'!H251)/3</f>
        <v>0</v>
      </c>
      <c r="I251" s="84">
        <f>('R2023'!I251+'R2022'!I251+'R2021'!I251)/3</f>
        <v>0</v>
      </c>
      <c r="J251" s="71"/>
      <c r="K251" s="84">
        <f t="shared" si="8"/>
        <v>0</v>
      </c>
      <c r="L251" s="67">
        <f t="shared" si="9"/>
        <v>0</v>
      </c>
    </row>
    <row r="252" spans="1:12" hidden="1" outlineLevel="1" x14ac:dyDescent="0.35">
      <c r="A252" s="37" t="s">
        <v>437</v>
      </c>
      <c r="B252" s="62" t="s">
        <v>438</v>
      </c>
      <c r="C252" s="54" t="s">
        <v>903</v>
      </c>
      <c r="D252" s="84">
        <f>('R2023'!D252+'R2022'!D252+'R2021'!D252)/3</f>
        <v>0</v>
      </c>
      <c r="E252" s="84">
        <f>('R2023'!E252+'R2022'!E252+'R2021'!E252)/3</f>
        <v>0</v>
      </c>
      <c r="F252" s="84">
        <f>('R2023'!F252+'R2022'!F252+'R2021'!F252)/3</f>
        <v>0</v>
      </c>
      <c r="G252" s="84">
        <f>('R2023'!G252+'R2022'!G252+'R2021'!G252)/3</f>
        <v>0</v>
      </c>
      <c r="H252" s="84">
        <f>('R2023'!H252+'R2022'!H252+'R2021'!H252)/3</f>
        <v>0</v>
      </c>
      <c r="I252" s="84">
        <f>('R2023'!I252+'R2022'!I252+'R2021'!I252)/3</f>
        <v>0</v>
      </c>
      <c r="J252" s="71"/>
      <c r="K252" s="84">
        <f t="shared" si="8"/>
        <v>0</v>
      </c>
      <c r="L252" s="67">
        <f t="shared" si="9"/>
        <v>0</v>
      </c>
    </row>
    <row r="253" spans="1:12" hidden="1" outlineLevel="1" x14ac:dyDescent="0.35">
      <c r="A253" s="37" t="s">
        <v>439</v>
      </c>
      <c r="B253" s="62" t="s">
        <v>440</v>
      </c>
      <c r="C253" s="54" t="s">
        <v>903</v>
      </c>
      <c r="D253" s="84">
        <f>('R2023'!D253+'R2022'!D253+'R2021'!D253)/3</f>
        <v>0</v>
      </c>
      <c r="E253" s="84">
        <f>('R2023'!E253+'R2022'!E253+'R2021'!E253)/3</f>
        <v>0</v>
      </c>
      <c r="F253" s="84">
        <f>('R2023'!F253+'R2022'!F253+'R2021'!F253)/3</f>
        <v>0</v>
      </c>
      <c r="G253" s="84">
        <f>('R2023'!G253+'R2022'!G253+'R2021'!G253)/3</f>
        <v>0</v>
      </c>
      <c r="H253" s="84">
        <f>('R2023'!H253+'R2022'!H253+'R2021'!H253)/3</f>
        <v>0</v>
      </c>
      <c r="I253" s="84">
        <f>('R2023'!I253+'R2022'!I253+'R2021'!I253)/3</f>
        <v>0</v>
      </c>
      <c r="J253" s="71"/>
      <c r="K253" s="84">
        <f t="shared" si="8"/>
        <v>0</v>
      </c>
      <c r="L253" s="67">
        <f t="shared" si="9"/>
        <v>0</v>
      </c>
    </row>
    <row r="254" spans="1:12" hidden="1" outlineLevel="1" x14ac:dyDescent="0.35">
      <c r="A254" s="37" t="s">
        <v>441</v>
      </c>
      <c r="B254" s="62" t="s">
        <v>442</v>
      </c>
      <c r="C254" s="54" t="s">
        <v>903</v>
      </c>
      <c r="D254" s="84">
        <f>('R2023'!D254+'R2022'!D254+'R2021'!D254)/3</f>
        <v>0</v>
      </c>
      <c r="E254" s="84">
        <f>('R2023'!E254+'R2022'!E254+'R2021'!E254)/3</f>
        <v>0</v>
      </c>
      <c r="F254" s="84">
        <f>('R2023'!F254+'R2022'!F254+'R2021'!F254)/3</f>
        <v>0</v>
      </c>
      <c r="G254" s="84">
        <f>('R2023'!G254+'R2022'!G254+'R2021'!G254)/3</f>
        <v>26922.333333333332</v>
      </c>
      <c r="H254" s="84">
        <f>('R2023'!H254+'R2022'!H254+'R2021'!H254)/3</f>
        <v>67636.333333333328</v>
      </c>
      <c r="I254" s="84">
        <f>('R2023'!I254+'R2022'!I254+'R2021'!I254)/3</f>
        <v>0</v>
      </c>
      <c r="J254" s="71"/>
      <c r="K254" s="84">
        <f t="shared" si="8"/>
        <v>0</v>
      </c>
      <c r="L254" s="67">
        <f t="shared" si="9"/>
        <v>94558.666666666657</v>
      </c>
    </row>
    <row r="255" spans="1:12" hidden="1" outlineLevel="1" x14ac:dyDescent="0.35">
      <c r="A255" s="37" t="s">
        <v>464</v>
      </c>
      <c r="B255" s="62" t="s">
        <v>465</v>
      </c>
      <c r="C255" s="54" t="s">
        <v>903</v>
      </c>
      <c r="D255" s="84">
        <f>('R2023'!D255+'R2022'!D255+'R2021'!D255)/3</f>
        <v>0</v>
      </c>
      <c r="E255" s="84">
        <f>('R2023'!E255+'R2022'!E255+'R2021'!E255)/3</f>
        <v>0</v>
      </c>
      <c r="F255" s="84">
        <f>('R2023'!F255+'R2022'!F255+'R2021'!F255)/3</f>
        <v>0</v>
      </c>
      <c r="G255" s="84">
        <f>('R2023'!G255+'R2022'!G255+'R2021'!G255)/3</f>
        <v>296809.66666666669</v>
      </c>
      <c r="H255" s="84">
        <f>('R2023'!H255+'R2022'!H255+'R2021'!H255)/3</f>
        <v>0</v>
      </c>
      <c r="I255" s="84">
        <f>('R2023'!I255+'R2022'!I255+'R2021'!I255)/3</f>
        <v>0</v>
      </c>
      <c r="J255" s="71"/>
      <c r="K255" s="84">
        <f t="shared" si="8"/>
        <v>0</v>
      </c>
      <c r="L255" s="67">
        <f t="shared" si="9"/>
        <v>296809.66666666669</v>
      </c>
    </row>
    <row r="256" spans="1:12" collapsed="1" x14ac:dyDescent="0.35">
      <c r="A256" s="37"/>
      <c r="B256" s="62" t="s">
        <v>914</v>
      </c>
      <c r="C256" s="54"/>
      <c r="D256" s="84">
        <f>('R2023'!D256+'R2022'!D256+'R2021'!D256)/3</f>
        <v>1330158.4284842655</v>
      </c>
      <c r="E256" s="84">
        <f>('R2023'!E256+'R2022'!E256+'R2021'!E256)/3</f>
        <v>728399.28924458986</v>
      </c>
      <c r="F256" s="84">
        <f>('R2023'!F256+'R2022'!F256+'R2021'!F256)/3</f>
        <v>2391818.3298582626</v>
      </c>
      <c r="G256" s="84">
        <f>('R2023'!G256+'R2022'!G256+'R2021'!G256)/3</f>
        <v>2360713.3237366364</v>
      </c>
      <c r="H256" s="84">
        <f>('R2023'!H256+'R2022'!H256+'R2021'!H256)/3</f>
        <v>2337957.9620095794</v>
      </c>
      <c r="I256" s="84">
        <f>('R2023'!I256+'R2022'!I256+'R2021'!I256)/3</f>
        <v>1252699.3333333333</v>
      </c>
      <c r="J256" s="71">
        <f>J265+J270+J271</f>
        <v>4107322.9999999991</v>
      </c>
      <c r="K256" s="84">
        <f t="shared" si="8"/>
        <v>5360022.3333333321</v>
      </c>
      <c r="L256" s="67">
        <f t="shared" si="9"/>
        <v>14509069.666666664</v>
      </c>
    </row>
    <row r="257" spans="1:12" hidden="1" outlineLevel="1" x14ac:dyDescent="0.35">
      <c r="A257" s="37" t="s">
        <v>443</v>
      </c>
      <c r="B257" s="62" t="s">
        <v>444</v>
      </c>
      <c r="C257" s="54" t="s">
        <v>914</v>
      </c>
      <c r="D257" s="84">
        <f>('R2023'!D257+'R2022'!D257+'R2021'!D257)/3</f>
        <v>4388</v>
      </c>
      <c r="E257" s="84">
        <f>('R2023'!E257+'R2022'!E257+'R2021'!E257)/3</f>
        <v>171995</v>
      </c>
      <c r="F257" s="84">
        <f>('R2023'!F257+'R2022'!F257+'R2021'!F257)/3</f>
        <v>1850096.3333333333</v>
      </c>
      <c r="G257" s="84">
        <f>('R2023'!G257+'R2022'!G257+'R2021'!G257)/3</f>
        <v>882483.66666666663</v>
      </c>
      <c r="H257" s="84">
        <f>('R2023'!H257+'R2022'!H257+'R2021'!H257)/3</f>
        <v>2118166.6666666665</v>
      </c>
      <c r="I257" s="84">
        <f>('R2023'!I257+'R2022'!I257+'R2021'!I257)/3</f>
        <v>1155608</v>
      </c>
      <c r="J257" s="71"/>
      <c r="K257" s="84">
        <f t="shared" si="8"/>
        <v>1155608</v>
      </c>
      <c r="L257" s="67">
        <f t="shared" si="9"/>
        <v>6182737.666666666</v>
      </c>
    </row>
    <row r="258" spans="1:12" ht="15.75" hidden="1" customHeight="1" outlineLevel="1" x14ac:dyDescent="0.35">
      <c r="A258" s="48" t="s">
        <v>445</v>
      </c>
      <c r="B258" s="62" t="s">
        <v>446</v>
      </c>
      <c r="C258" s="54" t="s">
        <v>914</v>
      </c>
      <c r="D258" s="84">
        <f>('R2023'!D258+'R2022'!D258+'R2021'!D258)/3</f>
        <v>955850.66666666663</v>
      </c>
      <c r="E258" s="84">
        <f>('R2023'!E258+'R2022'!E258+'R2021'!E258)/3</f>
        <v>0</v>
      </c>
      <c r="F258" s="84">
        <f>('R2023'!F258+'R2022'!F258+'R2021'!F258)/3</f>
        <v>0</v>
      </c>
      <c r="G258" s="84">
        <f>('R2023'!G258+'R2022'!G258+'R2021'!G258)/3</f>
        <v>0</v>
      </c>
      <c r="H258" s="84">
        <f>('R2023'!H258+'R2022'!H258+'R2021'!H258)/3</f>
        <v>0</v>
      </c>
      <c r="I258" s="84">
        <f>('R2023'!I258+'R2022'!I258+'R2021'!I258)/3</f>
        <v>0</v>
      </c>
      <c r="J258" s="71"/>
      <c r="K258" s="84">
        <f t="shared" si="8"/>
        <v>0</v>
      </c>
      <c r="L258" s="67">
        <f t="shared" si="9"/>
        <v>955850.66666666663</v>
      </c>
    </row>
    <row r="259" spans="1:12" ht="15.75" hidden="1" customHeight="1" outlineLevel="1" x14ac:dyDescent="0.35">
      <c r="A259" s="37" t="s">
        <v>447</v>
      </c>
      <c r="B259" s="69" t="s">
        <v>448</v>
      </c>
      <c r="C259" s="54" t="s">
        <v>914</v>
      </c>
      <c r="D259" s="84">
        <f>('R2023'!D259+'R2022'!D259+'R2021'!D259)/3</f>
        <v>0</v>
      </c>
      <c r="E259" s="84">
        <f>('R2023'!E259+'R2022'!E259+'R2021'!E259)/3</f>
        <v>15733.333333333334</v>
      </c>
      <c r="F259" s="84">
        <f>('R2023'!F259+'R2022'!F259+'R2021'!F259)/3</f>
        <v>12800</v>
      </c>
      <c r="G259" s="84">
        <f>('R2023'!G259+'R2022'!G259+'R2021'!G259)/3</f>
        <v>92361.666666666672</v>
      </c>
      <c r="H259" s="84">
        <f>('R2023'!H259+'R2022'!H259+'R2021'!H259)/3</f>
        <v>7291.333333333333</v>
      </c>
      <c r="I259" s="84">
        <f>('R2023'!I259+'R2022'!I259+'R2021'!I259)/3</f>
        <v>1959.6666666666667</v>
      </c>
      <c r="J259" s="71"/>
      <c r="K259" s="84">
        <f t="shared" si="8"/>
        <v>1959.6666666666667</v>
      </c>
      <c r="L259" s="67">
        <f t="shared" si="9"/>
        <v>130146</v>
      </c>
    </row>
    <row r="260" spans="1:12" hidden="1" outlineLevel="1" x14ac:dyDescent="0.35">
      <c r="A260" s="37" t="s">
        <v>449</v>
      </c>
      <c r="B260" s="62" t="s">
        <v>450</v>
      </c>
      <c r="C260" s="54" t="s">
        <v>914</v>
      </c>
      <c r="D260" s="84">
        <f>('R2023'!D260+'R2022'!D260+'R2021'!D260)/3</f>
        <v>0</v>
      </c>
      <c r="E260" s="84">
        <f>('R2023'!E260+'R2022'!E260+'R2021'!E260)/3</f>
        <v>0</v>
      </c>
      <c r="F260" s="84">
        <f>('R2023'!F260+'R2022'!F260+'R2021'!F260)/3</f>
        <v>0</v>
      </c>
      <c r="G260" s="84">
        <f>('R2023'!G260+'R2022'!G260+'R2021'!G260)/3</f>
        <v>394000</v>
      </c>
      <c r="H260" s="84">
        <f>('R2023'!H260+'R2022'!H260+'R2021'!H260)/3</f>
        <v>0</v>
      </c>
      <c r="I260" s="84">
        <f>('R2023'!I260+'R2022'!I260+'R2021'!I260)/3</f>
        <v>0</v>
      </c>
      <c r="J260" s="71"/>
      <c r="K260" s="84">
        <f t="shared" si="8"/>
        <v>0</v>
      </c>
      <c r="L260" s="67">
        <f t="shared" si="9"/>
        <v>394000</v>
      </c>
    </row>
    <row r="261" spans="1:12" hidden="1" outlineLevel="1" x14ac:dyDescent="0.35">
      <c r="A261" s="37" t="s">
        <v>451</v>
      </c>
      <c r="B261" s="62" t="s">
        <v>452</v>
      </c>
      <c r="C261" s="54" t="s">
        <v>914</v>
      </c>
      <c r="D261" s="84">
        <f>('R2023'!D261+'R2022'!D261+'R2021'!D261)/3</f>
        <v>6709</v>
      </c>
      <c r="E261" s="84">
        <f>('R2023'!E261+'R2022'!E261+'R2021'!E261)/3</f>
        <v>44123</v>
      </c>
      <c r="F261" s="84">
        <f>('R2023'!F261+'R2022'!F261+'R2021'!F261)/3</f>
        <v>0</v>
      </c>
      <c r="G261" s="84">
        <f>('R2023'!G261+'R2022'!G261+'R2021'!G261)/3</f>
        <v>15100.333333333334</v>
      </c>
      <c r="H261" s="84">
        <f>('R2023'!H261+'R2022'!H261+'R2021'!H261)/3</f>
        <v>0</v>
      </c>
      <c r="I261" s="84">
        <f>('R2023'!I261+'R2022'!I261+'R2021'!I261)/3</f>
        <v>0</v>
      </c>
      <c r="J261" s="71"/>
      <c r="K261" s="84">
        <f t="shared" si="8"/>
        <v>0</v>
      </c>
      <c r="L261" s="67">
        <f t="shared" si="9"/>
        <v>65932.333333333328</v>
      </c>
    </row>
    <row r="262" spans="1:12" hidden="1" outlineLevel="1" x14ac:dyDescent="0.35">
      <c r="A262" s="37" t="s">
        <v>453</v>
      </c>
      <c r="B262" s="62" t="s">
        <v>454</v>
      </c>
      <c r="C262" s="54" t="s">
        <v>914</v>
      </c>
      <c r="D262" s="84">
        <f>('R2023'!D262+'R2022'!D262+'R2021'!D262)/3</f>
        <v>0</v>
      </c>
      <c r="E262" s="84">
        <f>('R2023'!E262+'R2022'!E262+'R2021'!E262)/3</f>
        <v>27365.333333333332</v>
      </c>
      <c r="F262" s="84">
        <f>('R2023'!F262+'R2022'!F262+'R2021'!F262)/3</f>
        <v>15001</v>
      </c>
      <c r="G262" s="84">
        <f>('R2023'!G262+'R2022'!G262+'R2021'!G262)/3</f>
        <v>0</v>
      </c>
      <c r="H262" s="84">
        <f>('R2023'!H262+'R2022'!H262+'R2021'!H262)/3</f>
        <v>0</v>
      </c>
      <c r="I262" s="84">
        <f>('R2023'!I262+'R2022'!I262+'R2021'!I262)/3</f>
        <v>0</v>
      </c>
      <c r="J262" s="71"/>
      <c r="K262" s="84">
        <f t="shared" ref="K262:K264" si="10">J262+I262</f>
        <v>0</v>
      </c>
      <c r="L262" s="67">
        <f t="shared" ref="L262:L264" si="11">K262+D262+E262+F262+G262+H262</f>
        <v>42366.333333333328</v>
      </c>
    </row>
    <row r="263" spans="1:12" hidden="1" outlineLevel="1" x14ac:dyDescent="0.35">
      <c r="A263" s="37" t="s">
        <v>915</v>
      </c>
      <c r="B263" s="62" t="s">
        <v>455</v>
      </c>
      <c r="C263" s="54" t="s">
        <v>914</v>
      </c>
      <c r="D263" s="84">
        <f>('R2023'!D263+'R2022'!D263+'R2021'!D263)/3</f>
        <v>0</v>
      </c>
      <c r="E263" s="84">
        <f>('R2023'!E263+'R2022'!E263+'R2021'!E263)/3</f>
        <v>12904</v>
      </c>
      <c r="F263" s="84">
        <f>('R2023'!F263+'R2022'!F263+'R2021'!F263)/3</f>
        <v>0</v>
      </c>
      <c r="G263" s="84">
        <f>('R2023'!G263+'R2022'!G263+'R2021'!G263)/3</f>
        <v>9504.3333333333339</v>
      </c>
      <c r="H263" s="84">
        <f>('R2023'!H263+'R2022'!H263+'R2021'!H263)/3</f>
        <v>0</v>
      </c>
      <c r="I263" s="84">
        <f>('R2023'!I263+'R2022'!I263+'R2021'!I263)/3</f>
        <v>0</v>
      </c>
      <c r="J263" s="71"/>
      <c r="K263" s="84">
        <f t="shared" si="10"/>
        <v>0</v>
      </c>
      <c r="L263" s="67">
        <f t="shared" si="11"/>
        <v>22408.333333333336</v>
      </c>
    </row>
    <row r="264" spans="1:12" hidden="1" outlineLevel="1" x14ac:dyDescent="0.35">
      <c r="A264" s="37" t="s">
        <v>456</v>
      </c>
      <c r="B264" s="62" t="s">
        <v>457</v>
      </c>
      <c r="C264" s="54" t="s">
        <v>914</v>
      </c>
      <c r="D264" s="84">
        <f>('R2023'!D264+'R2022'!D264+'R2021'!D264)/3</f>
        <v>4797</v>
      </c>
      <c r="E264" s="84">
        <f>('R2023'!E264+'R2022'!E264+'R2021'!E264)/3</f>
        <v>11337.666666666666</v>
      </c>
      <c r="F264" s="84">
        <f>('R2023'!F264+'R2022'!F264+'R2021'!F264)/3</f>
        <v>0</v>
      </c>
      <c r="G264" s="84">
        <f>('R2023'!G264+'R2022'!G264+'R2021'!G264)/3</f>
        <v>0</v>
      </c>
      <c r="H264" s="84">
        <f>('R2023'!H264+'R2022'!H264+'R2021'!H264)/3</f>
        <v>0</v>
      </c>
      <c r="I264" s="84">
        <f>('R2023'!I264+'R2022'!I264+'R2021'!I264)/3</f>
        <v>0</v>
      </c>
      <c r="J264" s="71"/>
      <c r="K264" s="84">
        <f t="shared" si="10"/>
        <v>0</v>
      </c>
      <c r="L264" s="67">
        <f t="shared" si="11"/>
        <v>16134.666666666666</v>
      </c>
    </row>
    <row r="265" spans="1:12" hidden="1" outlineLevel="1" x14ac:dyDescent="0.35">
      <c r="A265" s="37"/>
      <c r="B265" s="117" t="s">
        <v>1302</v>
      </c>
      <c r="C265" s="118"/>
      <c r="D265" s="119">
        <f>('R2023'!D265+'R2022'!D265+'R2021'!D265)/3</f>
        <v>0</v>
      </c>
      <c r="E265" s="119">
        <f>('R2023'!E265+'R2022'!E265+'R2021'!E265)/3</f>
        <v>0</v>
      </c>
      <c r="F265" s="119">
        <f>('R2023'!F265+'R2022'!F265+'R2021'!F265)/3</f>
        <v>-456582.33333333331</v>
      </c>
      <c r="G265" s="119">
        <f>('R2023'!G265+'R2022'!G265+'R2021'!G265)/3</f>
        <v>-275093.33333333331</v>
      </c>
      <c r="H265" s="119">
        <f>('R2023'!H265+'R2022'!H265+'R2021'!H265)/3</f>
        <v>-182304.66666666666</v>
      </c>
      <c r="I265" s="119">
        <f>('R2023'!I265+'R2022'!I265+'R2021'!I265)/3</f>
        <v>0</v>
      </c>
      <c r="J265" s="128">
        <f>-H265-G265-F265-E265-D265</f>
        <v>913980.33333333326</v>
      </c>
      <c r="K265" s="133">
        <f>+J265+I265</f>
        <v>913980.33333333326</v>
      </c>
      <c r="L265" s="129">
        <f>+K265+H265+G265+F265+E265+D265</f>
        <v>0</v>
      </c>
    </row>
    <row r="266" spans="1:12" hidden="1" outlineLevel="1" x14ac:dyDescent="0.35">
      <c r="A266" s="37"/>
      <c r="B266" s="117" t="s">
        <v>1303</v>
      </c>
      <c r="C266" s="118"/>
      <c r="D266" s="119">
        <f>('R2023'!D266+'R2022'!D266+'R2021'!D266)/3</f>
        <v>0</v>
      </c>
      <c r="E266" s="119">
        <f>('R2023'!E266+'R2022'!E266+'R2021'!E266)/3</f>
        <v>0</v>
      </c>
      <c r="F266" s="119">
        <f>('R2023'!F266+'R2022'!F266+'R2021'!F266)/3</f>
        <v>0</v>
      </c>
      <c r="G266" s="119">
        <f>('R2023'!G266+'R2022'!G266+'R2021'!G266)/3</f>
        <v>0</v>
      </c>
      <c r="H266" s="119">
        <f>('R2023'!H266+'R2022'!H266+'R2021'!H266)/3</f>
        <v>0</v>
      </c>
      <c r="I266" s="119">
        <f>('R2023'!I266+'R2022'!I266+'R2021'!I266)/3</f>
        <v>0</v>
      </c>
      <c r="J266" s="128">
        <f>-H266-G266-F266-E266-D266</f>
        <v>0</v>
      </c>
      <c r="K266" s="133">
        <f>+J266+I266</f>
        <v>0</v>
      </c>
      <c r="L266" s="129">
        <f>+K266+H266+G266+F266+E266+D266</f>
        <v>0</v>
      </c>
    </row>
    <row r="267" spans="1:12" hidden="1" outlineLevel="1" x14ac:dyDescent="0.35">
      <c r="A267" s="37" t="s">
        <v>458</v>
      </c>
      <c r="B267" s="62" t="s">
        <v>459</v>
      </c>
      <c r="C267" s="54" t="s">
        <v>914</v>
      </c>
      <c r="D267" s="84">
        <f>('R2023'!D267+'R2022'!D267+'R2021'!D267)/3</f>
        <v>221110.33333333334</v>
      </c>
      <c r="E267" s="84">
        <f>('R2023'!E267+'R2022'!E267+'R2021'!E267)/3</f>
        <v>545113.66666666663</v>
      </c>
      <c r="F267" s="84">
        <f>('R2023'!F267+'R2022'!F267+'R2021'!F267)/3</f>
        <v>2065462.6666666667</v>
      </c>
      <c r="G267" s="84">
        <f>('R2023'!G267+'R2022'!G267+'R2021'!G267)/3</f>
        <v>1436459.6666666667</v>
      </c>
      <c r="H267" s="84">
        <f>('R2023'!H267+'R2022'!H267+'R2021'!H267)/3</f>
        <v>1133136</v>
      </c>
      <c r="I267" s="84">
        <f>('R2023'!I267+'R2022'!I267+'R2021'!I267)/3</f>
        <v>0</v>
      </c>
      <c r="J267" s="71"/>
      <c r="K267" s="84">
        <f t="shared" ref="K267:K330" si="12">J267+I267</f>
        <v>0</v>
      </c>
      <c r="L267" s="67">
        <f t="shared" ref="L267:L330" si="13">K267+D267+E267+F267+G267+H267</f>
        <v>5401282.333333334</v>
      </c>
    </row>
    <row r="268" spans="1:12" hidden="1" outlineLevel="1" x14ac:dyDescent="0.35">
      <c r="A268" s="37" t="s">
        <v>460</v>
      </c>
      <c r="B268" s="62" t="s">
        <v>461</v>
      </c>
      <c r="C268" s="54" t="s">
        <v>914</v>
      </c>
      <c r="D268" s="84">
        <f>('R2023'!D268+'R2022'!D268+'R2021'!D268)/3</f>
        <v>0</v>
      </c>
      <c r="E268" s="84">
        <f>('R2023'!E268+'R2022'!E268+'R2021'!E268)/3</f>
        <v>0</v>
      </c>
      <c r="F268" s="84">
        <f>('R2023'!F268+'R2022'!F268+'R2021'!F268)/3</f>
        <v>0</v>
      </c>
      <c r="G268" s="84">
        <f>('R2023'!G268+'R2022'!G268+'R2021'!G268)/3</f>
        <v>0</v>
      </c>
      <c r="H268" s="84">
        <f>('R2023'!H268+'R2022'!H268+'R2021'!H268)/3</f>
        <v>0</v>
      </c>
      <c r="I268" s="84">
        <f>('R2023'!I268+'R2022'!I268+'R2021'!I268)/3</f>
        <v>0</v>
      </c>
      <c r="J268" s="71"/>
      <c r="K268" s="84">
        <f t="shared" si="12"/>
        <v>0</v>
      </c>
      <c r="L268" s="67">
        <f t="shared" si="13"/>
        <v>0</v>
      </c>
    </row>
    <row r="269" spans="1:12" hidden="1" outlineLevel="1" x14ac:dyDescent="0.35">
      <c r="A269" s="37" t="s">
        <v>462</v>
      </c>
      <c r="B269" s="62" t="s">
        <v>916</v>
      </c>
      <c r="C269" s="54" t="s">
        <v>914</v>
      </c>
      <c r="D269" s="84">
        <f>('R2023'!D269+'R2022'!D269+'R2021'!D269)/3</f>
        <v>0</v>
      </c>
      <c r="E269" s="84">
        <f>('R2023'!E269+'R2022'!E269+'R2021'!E269)/3</f>
        <v>0</v>
      </c>
      <c r="F269" s="84">
        <f>('R2023'!F269+'R2022'!F269+'R2021'!F269)/3</f>
        <v>0</v>
      </c>
      <c r="G269" s="84">
        <f>('R2023'!G269+'R2022'!G269+'R2021'!G269)/3</f>
        <v>0</v>
      </c>
      <c r="H269" s="84">
        <f>('R2023'!H269+'R2022'!H269+'R2021'!H269)/3</f>
        <v>0</v>
      </c>
      <c r="I269" s="84">
        <f>('R2023'!I269+'R2022'!I269+'R2021'!I269)/3</f>
        <v>0</v>
      </c>
      <c r="J269" s="71"/>
      <c r="K269" s="84">
        <f t="shared" si="12"/>
        <v>0</v>
      </c>
      <c r="L269" s="67">
        <f t="shared" si="13"/>
        <v>0</v>
      </c>
    </row>
    <row r="270" spans="1:12" hidden="1" outlineLevel="1" x14ac:dyDescent="0.35">
      <c r="A270" s="37"/>
      <c r="B270" s="117" t="s">
        <v>1295</v>
      </c>
      <c r="C270" s="118"/>
      <c r="D270" s="119">
        <f>('R2023'!D270+'R2022'!D270+'R2021'!D270)/3</f>
        <v>-221110.33333333334</v>
      </c>
      <c r="E270" s="119">
        <f>('R2023'!E270+'R2022'!E270+'R2021'!E270)/3</f>
        <v>-545113.66666666663</v>
      </c>
      <c r="F270" s="119">
        <f>('R2023'!F270+'R2022'!F270+'R2021'!F270)/3</f>
        <v>-2065462.6666666667</v>
      </c>
      <c r="G270" s="119">
        <f>('R2023'!G270+'R2022'!G270+'R2021'!G270)/3</f>
        <v>-1045186.6666666666</v>
      </c>
      <c r="H270" s="119">
        <f>('R2023'!H270+'R2022'!H270+'R2021'!H270)/3</f>
        <v>-1133136</v>
      </c>
      <c r="I270" s="119">
        <f>('R2023'!I270+'R2022'!I270+'R2021'!I270)/3</f>
        <v>0</v>
      </c>
      <c r="J270" s="128">
        <f>-H270-G270-F270-E270-D270</f>
        <v>5010009.333333333</v>
      </c>
      <c r="K270" s="133">
        <f>+J270+I270</f>
        <v>5010009.333333333</v>
      </c>
      <c r="L270" s="129">
        <f>+K270+H270+G270+F270+E270+D270</f>
        <v>0</v>
      </c>
    </row>
    <row r="271" spans="1:12" hidden="1" outlineLevel="1" x14ac:dyDescent="0.35">
      <c r="A271" s="37"/>
      <c r="B271" s="117" t="s">
        <v>1304</v>
      </c>
      <c r="C271" s="118"/>
      <c r="D271" s="119">
        <f>('R2023'!D271+'R2022'!D271+'R2021'!D271)/3</f>
        <v>92150.761817598672</v>
      </c>
      <c r="E271" s="119">
        <f>('R2023'!E271+'R2022'!E271+'R2021'!E271)/3</f>
        <v>202736.6225779232</v>
      </c>
      <c r="F271" s="119">
        <f>('R2023'!F271+'R2022'!F271+'R2021'!F271)/3</f>
        <v>778159.99652492907</v>
      </c>
      <c r="G271" s="119">
        <f>('R2023'!G271+'R2022'!G271+'R2021'!G271)/3</f>
        <v>348814.65706996951</v>
      </c>
      <c r="H271" s="119">
        <f>('R2023'!H271+'R2022'!H271+'R2021'!H271)/3</f>
        <v>394804.62867624621</v>
      </c>
      <c r="I271" s="119">
        <f>('R2023'!I271+'R2022'!I271+'R2021'!I271)/3</f>
        <v>0</v>
      </c>
      <c r="J271" s="128">
        <f>-H271-G271-F271-E271-D271</f>
        <v>-1816666.6666666667</v>
      </c>
      <c r="K271" s="133">
        <f>+J271+I271</f>
        <v>-1816666.6666666667</v>
      </c>
      <c r="L271" s="129">
        <f>+K271+H271+G271+F271+E271+D271</f>
        <v>-1.8917489796876907E-10</v>
      </c>
    </row>
    <row r="272" spans="1:12" hidden="1" outlineLevel="1" x14ac:dyDescent="0.35">
      <c r="A272" s="37" t="s">
        <v>466</v>
      </c>
      <c r="B272" s="62" t="s">
        <v>467</v>
      </c>
      <c r="C272" s="54" t="s">
        <v>914</v>
      </c>
      <c r="D272" s="84">
        <f>('R2023'!D272+'R2022'!D272+'R2021'!D272)/3</f>
        <v>0</v>
      </c>
      <c r="E272" s="84">
        <f>('R2023'!E272+'R2022'!E272+'R2021'!E272)/3</f>
        <v>41235.333333333336</v>
      </c>
      <c r="F272" s="84">
        <f>('R2023'!F272+'R2022'!F272+'R2021'!F272)/3</f>
        <v>0</v>
      </c>
      <c r="G272" s="84">
        <f>('R2023'!G272+'R2022'!G272+'R2021'!G272)/3</f>
        <v>14266.666666666666</v>
      </c>
      <c r="H272" s="84">
        <f>('R2023'!H272+'R2022'!H272+'R2021'!H272)/3</f>
        <v>0</v>
      </c>
      <c r="I272" s="84">
        <f>('R2023'!I272+'R2022'!I272+'R2021'!I272)/3</f>
        <v>0</v>
      </c>
      <c r="J272" s="71"/>
      <c r="K272" s="84">
        <f t="shared" si="12"/>
        <v>0</v>
      </c>
      <c r="L272" s="67">
        <f t="shared" si="13"/>
        <v>55502</v>
      </c>
    </row>
    <row r="273" spans="1:12" hidden="1" outlineLevel="1" x14ac:dyDescent="0.35">
      <c r="A273" s="37" t="s">
        <v>468</v>
      </c>
      <c r="B273" s="62" t="s">
        <v>469</v>
      </c>
      <c r="C273" s="54" t="s">
        <v>914</v>
      </c>
      <c r="D273" s="84">
        <f>('R2023'!D273+'R2022'!D273+'R2021'!D273)/3</f>
        <v>5444.333333333333</v>
      </c>
      <c r="E273" s="84">
        <f>('R2023'!E273+'R2022'!E273+'R2021'!E273)/3</f>
        <v>0</v>
      </c>
      <c r="F273" s="84">
        <f>('R2023'!F273+'R2022'!F273+'R2021'!F273)/3</f>
        <v>0</v>
      </c>
      <c r="G273" s="84">
        <f>('R2023'!G273+'R2022'!G273+'R2021'!G273)/3</f>
        <v>1116.6666666666667</v>
      </c>
      <c r="H273" s="84">
        <f>('R2023'!H273+'R2022'!H273+'R2021'!H273)/3</f>
        <v>0</v>
      </c>
      <c r="I273" s="84">
        <f>('R2023'!I273+'R2022'!I273+'R2021'!I273)/3</f>
        <v>0</v>
      </c>
      <c r="J273" s="71"/>
      <c r="K273" s="84">
        <f t="shared" si="12"/>
        <v>0</v>
      </c>
      <c r="L273" s="67">
        <f t="shared" si="13"/>
        <v>6561</v>
      </c>
    </row>
    <row r="274" spans="1:12" hidden="1" outlineLevel="1" x14ac:dyDescent="0.35">
      <c r="A274" s="37" t="s">
        <v>470</v>
      </c>
      <c r="B274" s="62" t="s">
        <v>471</v>
      </c>
      <c r="C274" s="54" t="s">
        <v>914</v>
      </c>
      <c r="D274" s="84">
        <f>('R2023'!D274+'R2022'!D274+'R2021'!D274)/3</f>
        <v>0</v>
      </c>
      <c r="E274" s="84">
        <f>('R2023'!E274+'R2022'!E274+'R2021'!E274)/3</f>
        <v>0</v>
      </c>
      <c r="F274" s="84">
        <f>('R2023'!F274+'R2022'!F274+'R2021'!F274)/3</f>
        <v>0</v>
      </c>
      <c r="G274" s="84">
        <f>('R2023'!G274+'R2022'!G274+'R2021'!G274)/3</f>
        <v>533.33333333333337</v>
      </c>
      <c r="H274" s="84">
        <f>('R2023'!H274+'R2022'!H274+'R2021'!H274)/3</f>
        <v>0</v>
      </c>
      <c r="I274" s="84">
        <f>('R2023'!I274+'R2022'!I274+'R2021'!I274)/3</f>
        <v>0</v>
      </c>
      <c r="J274" s="71"/>
      <c r="K274" s="84">
        <f t="shared" si="12"/>
        <v>0</v>
      </c>
      <c r="L274" s="67">
        <f t="shared" si="13"/>
        <v>533.33333333333337</v>
      </c>
    </row>
    <row r="275" spans="1:12" hidden="1" outlineLevel="1" x14ac:dyDescent="0.35">
      <c r="A275" s="37" t="s">
        <v>472</v>
      </c>
      <c r="B275" s="62" t="s">
        <v>473</v>
      </c>
      <c r="C275" s="54" t="s">
        <v>914</v>
      </c>
      <c r="D275" s="84">
        <f>('R2023'!D275+'R2022'!D275+'R2021'!D275)/3</f>
        <v>0</v>
      </c>
      <c r="E275" s="84">
        <f>('R2023'!E275+'R2022'!E275+'R2021'!E275)/3</f>
        <v>0</v>
      </c>
      <c r="F275" s="84">
        <f>('R2023'!F275+'R2022'!F275+'R2021'!F275)/3</f>
        <v>0</v>
      </c>
      <c r="G275" s="84">
        <f>('R2023'!G275+'R2022'!G275+'R2021'!G275)/3</f>
        <v>0</v>
      </c>
      <c r="H275" s="84">
        <f>('R2023'!H275+'R2022'!H275+'R2021'!H275)/3</f>
        <v>0</v>
      </c>
      <c r="I275" s="84">
        <f>('R2023'!I275+'R2022'!I275+'R2021'!I275)/3</f>
        <v>0</v>
      </c>
      <c r="J275" s="71"/>
      <c r="K275" s="84">
        <f t="shared" si="12"/>
        <v>0</v>
      </c>
      <c r="L275" s="67">
        <f t="shared" si="13"/>
        <v>0</v>
      </c>
    </row>
    <row r="276" spans="1:12" hidden="1" outlineLevel="1" x14ac:dyDescent="0.35">
      <c r="A276" s="37" t="s">
        <v>474</v>
      </c>
      <c r="B276" s="62" t="s">
        <v>475</v>
      </c>
      <c r="C276" s="54" t="s">
        <v>914</v>
      </c>
      <c r="D276" s="84">
        <f>('R2023'!D276+'R2022'!D276+'R2021'!D276)/3</f>
        <v>0</v>
      </c>
      <c r="E276" s="84">
        <f>('R2023'!E276+'R2022'!E276+'R2021'!E276)/3</f>
        <v>45833.333333333336</v>
      </c>
      <c r="F276" s="84">
        <f>('R2023'!F276+'R2022'!F276+'R2021'!F276)/3</f>
        <v>0</v>
      </c>
      <c r="G276" s="84">
        <f>('R2023'!G276+'R2022'!G276+'R2021'!G276)/3</f>
        <v>0</v>
      </c>
      <c r="H276" s="84">
        <f>('R2023'!H276+'R2022'!H276+'R2021'!H276)/3</f>
        <v>0</v>
      </c>
      <c r="I276" s="84">
        <f>('R2023'!I276+'R2022'!I276+'R2021'!I276)/3</f>
        <v>0</v>
      </c>
      <c r="J276" s="71"/>
      <c r="K276" s="84">
        <f t="shared" si="12"/>
        <v>0</v>
      </c>
      <c r="L276" s="67">
        <f t="shared" si="13"/>
        <v>45833.333333333336</v>
      </c>
    </row>
    <row r="277" spans="1:12" hidden="1" outlineLevel="1" x14ac:dyDescent="0.35">
      <c r="A277" s="37" t="s">
        <v>476</v>
      </c>
      <c r="B277" s="62" t="s">
        <v>477</v>
      </c>
      <c r="C277" s="54" t="s">
        <v>914</v>
      </c>
      <c r="D277" s="84">
        <f>('R2023'!D277+'R2022'!D277+'R2021'!D277)/3</f>
        <v>0</v>
      </c>
      <c r="E277" s="84">
        <f>('R2023'!E277+'R2022'!E277+'R2021'!E277)/3</f>
        <v>0</v>
      </c>
      <c r="F277" s="84">
        <f>('R2023'!F277+'R2022'!F277+'R2021'!F277)/3</f>
        <v>0</v>
      </c>
      <c r="G277" s="84">
        <f>('R2023'!G277+'R2022'!G277+'R2021'!G277)/3</f>
        <v>0</v>
      </c>
      <c r="H277" s="84">
        <f>('R2023'!H277+'R2022'!H277+'R2021'!H277)/3</f>
        <v>0</v>
      </c>
      <c r="I277" s="84">
        <f>('R2023'!I277+'R2022'!I277+'R2021'!I277)/3</f>
        <v>0</v>
      </c>
      <c r="J277" s="71"/>
      <c r="K277" s="84">
        <f t="shared" si="12"/>
        <v>0</v>
      </c>
      <c r="L277" s="67">
        <f t="shared" si="13"/>
        <v>0</v>
      </c>
    </row>
    <row r="278" spans="1:12" hidden="1" outlineLevel="1" x14ac:dyDescent="0.35">
      <c r="A278" s="37" t="s">
        <v>478</v>
      </c>
      <c r="B278" s="62" t="s">
        <v>479</v>
      </c>
      <c r="C278" s="54" t="s">
        <v>914</v>
      </c>
      <c r="D278" s="84">
        <f>('R2023'!D278+'R2022'!D278+'R2021'!D278)/3</f>
        <v>236928.33333333334</v>
      </c>
      <c r="E278" s="84">
        <f>('R2023'!E278+'R2022'!E278+'R2021'!E278)/3</f>
        <v>103341.33333333333</v>
      </c>
      <c r="F278" s="84">
        <f>('R2023'!F278+'R2022'!F278+'R2021'!F278)/3</f>
        <v>0</v>
      </c>
      <c r="G278" s="84">
        <f>('R2023'!G278+'R2022'!G278+'R2021'!G278)/3</f>
        <v>390655.33333333331</v>
      </c>
      <c r="H278" s="84">
        <f>('R2023'!H278+'R2022'!H278+'R2021'!H278)/3</f>
        <v>0</v>
      </c>
      <c r="I278" s="84">
        <f>('R2023'!I278+'R2022'!I278+'R2021'!I278)/3</f>
        <v>95131.666666666672</v>
      </c>
      <c r="J278" s="71"/>
      <c r="K278" s="84">
        <f t="shared" si="12"/>
        <v>95131.666666666672</v>
      </c>
      <c r="L278" s="67">
        <f t="shared" si="13"/>
        <v>826056.66666666663</v>
      </c>
    </row>
    <row r="279" spans="1:12" hidden="1" outlineLevel="1" x14ac:dyDescent="0.35">
      <c r="A279" s="37" t="s">
        <v>480</v>
      </c>
      <c r="B279" s="62" t="s">
        <v>481</v>
      </c>
      <c r="C279" s="54" t="s">
        <v>914</v>
      </c>
      <c r="D279" s="84">
        <f>('R2023'!D279+'R2022'!D279+'R2021'!D279)/3</f>
        <v>0</v>
      </c>
      <c r="E279" s="84">
        <f>('R2023'!E279+'R2022'!E279+'R2021'!E279)/3</f>
        <v>0</v>
      </c>
      <c r="F279" s="84">
        <f>('R2023'!F279+'R2022'!F279+'R2021'!F279)/3</f>
        <v>0</v>
      </c>
      <c r="G279" s="84">
        <f>('R2023'!G279+'R2022'!G279+'R2021'!G279)/3</f>
        <v>0</v>
      </c>
      <c r="H279" s="84">
        <f>('R2023'!H279+'R2022'!H279+'R2021'!H279)/3</f>
        <v>0</v>
      </c>
      <c r="I279" s="84">
        <f>('R2023'!I279+'R2022'!I279+'R2021'!I279)/3</f>
        <v>0</v>
      </c>
      <c r="J279" s="71"/>
      <c r="K279" s="84">
        <f t="shared" si="12"/>
        <v>0</v>
      </c>
      <c r="L279" s="67">
        <f t="shared" si="13"/>
        <v>0</v>
      </c>
    </row>
    <row r="280" spans="1:12" hidden="1" outlineLevel="1" x14ac:dyDescent="0.35">
      <c r="A280" s="37" t="s">
        <v>482</v>
      </c>
      <c r="B280" s="62" t="s">
        <v>483</v>
      </c>
      <c r="C280" s="54" t="s">
        <v>914</v>
      </c>
      <c r="D280" s="84">
        <f>('R2023'!D280+'R2022'!D280+'R2021'!D280)/3</f>
        <v>0</v>
      </c>
      <c r="E280" s="84">
        <f>('R2023'!E280+'R2022'!E280+'R2021'!E280)/3</f>
        <v>0</v>
      </c>
      <c r="F280" s="84">
        <f>('R2023'!F280+'R2022'!F280+'R2021'!F280)/3</f>
        <v>0</v>
      </c>
      <c r="G280" s="84">
        <f>('R2023'!G280+'R2022'!G280+'R2021'!G280)/3</f>
        <v>2333.3333333333335</v>
      </c>
      <c r="H280" s="84">
        <f>('R2023'!H280+'R2022'!H280+'R2021'!H280)/3</f>
        <v>0</v>
      </c>
      <c r="I280" s="84">
        <f>('R2023'!I280+'R2022'!I280+'R2021'!I280)/3</f>
        <v>0</v>
      </c>
      <c r="J280" s="71"/>
      <c r="K280" s="84">
        <f t="shared" si="12"/>
        <v>0</v>
      </c>
      <c r="L280" s="67">
        <f t="shared" si="13"/>
        <v>2333.3333333333335</v>
      </c>
    </row>
    <row r="281" spans="1:12" hidden="1" outlineLevel="1" x14ac:dyDescent="0.35">
      <c r="A281" s="37" t="s">
        <v>484</v>
      </c>
      <c r="B281" s="62" t="s">
        <v>485</v>
      </c>
      <c r="C281" s="54" t="s">
        <v>914</v>
      </c>
      <c r="D281" s="84">
        <f>('R2023'!D281+'R2022'!D281+'R2021'!D281)/3</f>
        <v>0</v>
      </c>
      <c r="E281" s="84">
        <f>('R2023'!E281+'R2022'!E281+'R2021'!E281)/3</f>
        <v>0</v>
      </c>
      <c r="F281" s="84">
        <f>('R2023'!F281+'R2022'!F281+'R2021'!F281)/3</f>
        <v>0</v>
      </c>
      <c r="G281" s="84">
        <f>('R2023'!G281+'R2022'!G281+'R2021'!G281)/3</f>
        <v>666.66666666666663</v>
      </c>
      <c r="H281" s="84">
        <f>('R2023'!H281+'R2022'!H281+'R2021'!H281)/3</f>
        <v>0</v>
      </c>
      <c r="I281" s="84">
        <f>('R2023'!I281+'R2022'!I281+'R2021'!I281)/3</f>
        <v>0</v>
      </c>
      <c r="J281" s="71"/>
      <c r="K281" s="84">
        <f t="shared" si="12"/>
        <v>0</v>
      </c>
      <c r="L281" s="67">
        <f t="shared" si="13"/>
        <v>666.66666666666663</v>
      </c>
    </row>
    <row r="282" spans="1:12" hidden="1" outlineLevel="1" x14ac:dyDescent="0.35">
      <c r="A282" s="37" t="s">
        <v>486</v>
      </c>
      <c r="B282" s="62" t="s">
        <v>487</v>
      </c>
      <c r="C282" s="54" t="s">
        <v>914</v>
      </c>
      <c r="D282" s="84">
        <f>('R2023'!D282+'R2022'!D282+'R2021'!D282)/3</f>
        <v>0</v>
      </c>
      <c r="E282" s="84">
        <f>('R2023'!E282+'R2022'!E282+'R2021'!E282)/3</f>
        <v>0</v>
      </c>
      <c r="F282" s="84">
        <f>('R2023'!F282+'R2022'!F282+'R2021'!F282)/3</f>
        <v>0</v>
      </c>
      <c r="G282" s="84">
        <f>('R2023'!G282+'R2022'!G282+'R2021'!G282)/3</f>
        <v>0</v>
      </c>
      <c r="H282" s="84">
        <f>('R2023'!H282+'R2022'!H282+'R2021'!H282)/3</f>
        <v>0</v>
      </c>
      <c r="I282" s="84">
        <f>('R2023'!I282+'R2022'!I282+'R2021'!I282)/3</f>
        <v>0</v>
      </c>
      <c r="J282" s="71"/>
      <c r="K282" s="84">
        <f t="shared" si="12"/>
        <v>0</v>
      </c>
      <c r="L282" s="67">
        <f t="shared" si="13"/>
        <v>0</v>
      </c>
    </row>
    <row r="283" spans="1:12" hidden="1" outlineLevel="1" x14ac:dyDescent="0.35">
      <c r="A283" s="37" t="s">
        <v>488</v>
      </c>
      <c r="B283" s="62" t="s">
        <v>489</v>
      </c>
      <c r="C283" s="54" t="s">
        <v>914</v>
      </c>
      <c r="D283" s="84">
        <f>('R2023'!D283+'R2022'!D283+'R2021'!D283)/3</f>
        <v>0</v>
      </c>
      <c r="E283" s="84">
        <f>('R2023'!E283+'R2022'!E283+'R2021'!E283)/3</f>
        <v>0</v>
      </c>
      <c r="F283" s="84">
        <f>('R2023'!F283+'R2022'!F283+'R2021'!F283)/3</f>
        <v>0</v>
      </c>
      <c r="G283" s="84">
        <f>('R2023'!G283+'R2022'!G283+'R2021'!G283)/3</f>
        <v>0</v>
      </c>
      <c r="H283" s="84">
        <f>('R2023'!H283+'R2022'!H283+'R2021'!H283)/3</f>
        <v>0</v>
      </c>
      <c r="I283" s="84">
        <f>('R2023'!I283+'R2022'!I283+'R2021'!I283)/3</f>
        <v>0</v>
      </c>
      <c r="J283" s="71"/>
      <c r="K283" s="84">
        <f t="shared" si="12"/>
        <v>0</v>
      </c>
      <c r="L283" s="67">
        <f t="shared" si="13"/>
        <v>0</v>
      </c>
    </row>
    <row r="284" spans="1:12" hidden="1" outlineLevel="1" x14ac:dyDescent="0.35">
      <c r="A284" s="37" t="s">
        <v>490</v>
      </c>
      <c r="B284" s="62" t="s">
        <v>491</v>
      </c>
      <c r="C284" s="54" t="s">
        <v>914</v>
      </c>
      <c r="D284" s="84">
        <f>('R2023'!D284+'R2022'!D284+'R2021'!D284)/3</f>
        <v>0</v>
      </c>
      <c r="E284" s="84">
        <f>('R2023'!E284+'R2022'!E284+'R2021'!E284)/3</f>
        <v>0</v>
      </c>
      <c r="F284" s="84">
        <f>('R2023'!F284+'R2022'!F284+'R2021'!F284)/3</f>
        <v>0</v>
      </c>
      <c r="G284" s="84">
        <f>('R2023'!G284+'R2022'!G284+'R2021'!G284)/3</f>
        <v>-285.33333333333331</v>
      </c>
      <c r="H284" s="84">
        <f>('R2023'!H284+'R2022'!H284+'R2021'!H284)/3</f>
        <v>0</v>
      </c>
      <c r="I284" s="84">
        <f>('R2023'!I284+'R2022'!I284+'R2021'!I284)/3</f>
        <v>0</v>
      </c>
      <c r="J284" s="71"/>
      <c r="K284" s="84">
        <f t="shared" si="12"/>
        <v>0</v>
      </c>
      <c r="L284" s="67">
        <f t="shared" si="13"/>
        <v>-285.33333333333331</v>
      </c>
    </row>
    <row r="285" spans="1:12" hidden="1" outlineLevel="1" x14ac:dyDescent="0.35">
      <c r="A285" s="37" t="s">
        <v>492</v>
      </c>
      <c r="B285" s="62" t="s">
        <v>493</v>
      </c>
      <c r="C285" s="54" t="s">
        <v>914</v>
      </c>
      <c r="D285" s="84">
        <f>('R2023'!D285+'R2022'!D285+'R2021'!D285)/3</f>
        <v>0</v>
      </c>
      <c r="E285" s="84">
        <f>('R2023'!E285+'R2022'!E285+'R2021'!E285)/3</f>
        <v>0</v>
      </c>
      <c r="F285" s="84">
        <f>('R2023'!F285+'R2022'!F285+'R2021'!F285)/3</f>
        <v>0</v>
      </c>
      <c r="G285" s="84">
        <f>('R2023'!G285+'R2022'!G285+'R2021'!G285)/3</f>
        <v>0</v>
      </c>
      <c r="H285" s="84">
        <f>('R2023'!H285+'R2022'!H285+'R2021'!H285)/3</f>
        <v>0</v>
      </c>
      <c r="I285" s="84">
        <f>('R2023'!I285+'R2022'!I285+'R2021'!I285)/3</f>
        <v>0</v>
      </c>
      <c r="J285" s="71"/>
      <c r="K285" s="84">
        <f t="shared" si="12"/>
        <v>0</v>
      </c>
      <c r="L285" s="67">
        <f t="shared" si="13"/>
        <v>0</v>
      </c>
    </row>
    <row r="286" spans="1:12" hidden="1" outlineLevel="1" x14ac:dyDescent="0.35">
      <c r="A286" s="37" t="s">
        <v>917</v>
      </c>
      <c r="B286" s="62" t="s">
        <v>918</v>
      </c>
      <c r="C286" s="54" t="s">
        <v>914</v>
      </c>
      <c r="D286" s="84">
        <f>('R2023'!D286+'R2022'!D286+'R2021'!D286)/3</f>
        <v>0</v>
      </c>
      <c r="E286" s="84">
        <f>('R2023'!E286+'R2022'!E286+'R2021'!E286)/3</f>
        <v>0</v>
      </c>
      <c r="F286" s="84">
        <f>('R2023'!F286+'R2022'!F286+'R2021'!F286)/3</f>
        <v>0</v>
      </c>
      <c r="G286" s="84">
        <f>('R2023'!G286+'R2022'!G286+'R2021'!G286)/3</f>
        <v>0</v>
      </c>
      <c r="H286" s="84">
        <f>('R2023'!H286+'R2022'!H286+'R2021'!H286)/3</f>
        <v>0</v>
      </c>
      <c r="I286" s="84">
        <f>('R2023'!I286+'R2022'!I286+'R2021'!I286)/3</f>
        <v>0</v>
      </c>
      <c r="J286" s="71"/>
      <c r="K286" s="84">
        <f t="shared" si="12"/>
        <v>0</v>
      </c>
      <c r="L286" s="67">
        <f t="shared" si="13"/>
        <v>0</v>
      </c>
    </row>
    <row r="287" spans="1:12" hidden="1" outlineLevel="1" x14ac:dyDescent="0.35">
      <c r="A287" s="37" t="s">
        <v>494</v>
      </c>
      <c r="B287" s="62" t="s">
        <v>495</v>
      </c>
      <c r="C287" s="54" t="s">
        <v>914</v>
      </c>
      <c r="D287" s="84">
        <f>('R2023'!D287+'R2022'!D287+'R2021'!D287)/3</f>
        <v>23890.333333333332</v>
      </c>
      <c r="E287" s="84">
        <f>('R2023'!E287+'R2022'!E287+'R2021'!E287)/3</f>
        <v>19910.333333333332</v>
      </c>
      <c r="F287" s="84">
        <f>('R2023'!F287+'R2022'!F287+'R2021'!F287)/3</f>
        <v>192343.33333333334</v>
      </c>
      <c r="G287" s="84">
        <f>('R2023'!G287+'R2022'!G287+'R2021'!G287)/3</f>
        <v>92982.333333333328</v>
      </c>
      <c r="H287" s="84">
        <f>('R2023'!H287+'R2022'!H287+'R2021'!H287)/3</f>
        <v>0</v>
      </c>
      <c r="I287" s="84">
        <f>('R2023'!I287+'R2022'!I287+'R2021'!I287)/3</f>
        <v>0</v>
      </c>
      <c r="J287" s="71"/>
      <c r="K287" s="84">
        <f t="shared" si="12"/>
        <v>0</v>
      </c>
      <c r="L287" s="67">
        <f t="shared" si="13"/>
        <v>329126.33333333331</v>
      </c>
    </row>
    <row r="288" spans="1:12" hidden="1" outlineLevel="1" x14ac:dyDescent="0.35">
      <c r="A288" s="37" t="s">
        <v>496</v>
      </c>
      <c r="B288" s="62" t="s">
        <v>497</v>
      </c>
      <c r="C288" s="54" t="s">
        <v>914</v>
      </c>
      <c r="D288" s="84">
        <f>('R2023'!D288+'R2022'!D288+'R2021'!D288)/3</f>
        <v>0</v>
      </c>
      <c r="E288" s="84">
        <f>('R2023'!E288+'R2022'!E288+'R2021'!E288)/3</f>
        <v>0</v>
      </c>
      <c r="F288" s="84">
        <f>('R2023'!F288+'R2022'!F288+'R2021'!F288)/3</f>
        <v>0</v>
      </c>
      <c r="G288" s="84">
        <f>('R2023'!G288+'R2022'!G288+'R2021'!G288)/3</f>
        <v>0</v>
      </c>
      <c r="H288" s="84">
        <f>('R2023'!H288+'R2022'!H288+'R2021'!H288)/3</f>
        <v>0</v>
      </c>
      <c r="I288" s="84">
        <f>('R2023'!I288+'R2022'!I288+'R2021'!I288)/3</f>
        <v>0</v>
      </c>
      <c r="J288" s="71"/>
      <c r="K288" s="84">
        <f t="shared" si="12"/>
        <v>0</v>
      </c>
      <c r="L288" s="67">
        <f t="shared" si="13"/>
        <v>0</v>
      </c>
    </row>
    <row r="289" spans="1:12" hidden="1" outlineLevel="1" x14ac:dyDescent="0.35">
      <c r="A289" s="37" t="s">
        <v>498</v>
      </c>
      <c r="B289" s="62" t="s">
        <v>499</v>
      </c>
      <c r="C289" s="54" t="s">
        <v>914</v>
      </c>
      <c r="D289" s="84">
        <f>('R2023'!D289+'R2022'!D289+'R2021'!D289)/3</f>
        <v>0</v>
      </c>
      <c r="E289" s="84">
        <f>('R2023'!E289+'R2022'!E289+'R2021'!E289)/3</f>
        <v>31884</v>
      </c>
      <c r="F289" s="84">
        <f>('R2023'!F289+'R2022'!F289+'R2021'!F289)/3</f>
        <v>0</v>
      </c>
      <c r="G289" s="84">
        <f>('R2023'!G289+'R2022'!G289+'R2021'!G289)/3</f>
        <v>0</v>
      </c>
      <c r="H289" s="84">
        <f>('R2023'!H289+'R2022'!H289+'R2021'!H289)/3</f>
        <v>0</v>
      </c>
      <c r="I289" s="84">
        <f>('R2023'!I289+'R2022'!I289+'R2021'!I289)/3</f>
        <v>0</v>
      </c>
      <c r="J289" s="71"/>
      <c r="K289" s="84">
        <f t="shared" si="12"/>
        <v>0</v>
      </c>
      <c r="L289" s="67">
        <f t="shared" si="13"/>
        <v>31884</v>
      </c>
    </row>
    <row r="290" spans="1:12" hidden="1" outlineLevel="1" x14ac:dyDescent="0.35">
      <c r="A290" s="37" t="s">
        <v>500</v>
      </c>
      <c r="B290" s="62" t="s">
        <v>501</v>
      </c>
      <c r="C290" s="54" t="s">
        <v>914</v>
      </c>
      <c r="D290" s="84">
        <f>('R2023'!D290+'R2022'!D290+'R2021'!D290)/3</f>
        <v>0</v>
      </c>
      <c r="E290" s="84">
        <f>('R2023'!E290+'R2022'!E290+'R2021'!E290)/3</f>
        <v>0</v>
      </c>
      <c r="F290" s="84">
        <f>('R2023'!F290+'R2022'!F290+'R2021'!F290)/3</f>
        <v>0</v>
      </c>
      <c r="G290" s="84">
        <f>('R2023'!G290+'R2022'!G290+'R2021'!G290)/3</f>
        <v>0</v>
      </c>
      <c r="H290" s="84">
        <f>('R2023'!H290+'R2022'!H290+'R2021'!H290)/3</f>
        <v>0</v>
      </c>
      <c r="I290" s="84">
        <f>('R2023'!I290+'R2022'!I290+'R2021'!I290)/3</f>
        <v>0</v>
      </c>
      <c r="J290" s="71"/>
      <c r="K290" s="84">
        <f t="shared" si="12"/>
        <v>0</v>
      </c>
      <c r="L290" s="67">
        <f t="shared" si="13"/>
        <v>0</v>
      </c>
    </row>
    <row r="291" spans="1:12" hidden="1" outlineLevel="1" x14ac:dyDescent="0.35">
      <c r="A291" s="37" t="s">
        <v>502</v>
      </c>
      <c r="B291" s="62" t="s">
        <v>503</v>
      </c>
      <c r="C291" s="54" t="s">
        <v>914</v>
      </c>
      <c r="D291" s="84">
        <f>('R2023'!D291+'R2022'!D291+'R2021'!D291)/3</f>
        <v>0</v>
      </c>
      <c r="E291" s="84">
        <f>('R2023'!E291+'R2022'!E291+'R2021'!E291)/3</f>
        <v>0</v>
      </c>
      <c r="F291" s="84">
        <f>('R2023'!F291+'R2022'!F291+'R2021'!F291)/3</f>
        <v>0</v>
      </c>
      <c r="G291" s="84">
        <f>('R2023'!G291+'R2022'!G291+'R2021'!G291)/3</f>
        <v>0</v>
      </c>
      <c r="H291" s="84">
        <f>('R2023'!H291+'R2022'!H291+'R2021'!H291)/3</f>
        <v>0</v>
      </c>
      <c r="I291" s="84">
        <f>('R2023'!I291+'R2022'!I291+'R2021'!I291)/3</f>
        <v>0</v>
      </c>
      <c r="J291" s="71"/>
      <c r="K291" s="84">
        <f t="shared" si="12"/>
        <v>0</v>
      </c>
      <c r="L291" s="67">
        <f t="shared" si="13"/>
        <v>0</v>
      </c>
    </row>
    <row r="292" spans="1:12" s="12" customFormat="1" x14ac:dyDescent="0.35">
      <c r="A292" s="52"/>
      <c r="B292" s="72" t="s">
        <v>1289</v>
      </c>
      <c r="C292" s="53"/>
      <c r="D292" s="154">
        <f>('R2023'!D292+'R2022'!D292+'R2021'!D292)/3</f>
        <v>1405960.095150932</v>
      </c>
      <c r="E292" s="154">
        <f>('R2023'!E292+'R2022'!E292+'R2021'!E292)/3</f>
        <v>1090516.9559112566</v>
      </c>
      <c r="F292" s="154">
        <f>('R2023'!F292+'R2022'!F292+'R2021'!F292)/3</f>
        <v>3288568.663191596</v>
      </c>
      <c r="G292" s="154">
        <f>('R2023'!G292+'R2022'!G292+'R2021'!G292)/3</f>
        <v>3452629.6570699699</v>
      </c>
      <c r="H292" s="154">
        <f>('R2023'!H292+'R2022'!H292+'R2021'!H292)/3</f>
        <v>3232704.6286762469</v>
      </c>
      <c r="I292" s="154">
        <f>('R2023'!I292+'R2022'!I292+'R2021'!I292)/3</f>
        <v>1476887.3333333333</v>
      </c>
      <c r="J292" s="154"/>
      <c r="K292" s="154">
        <f>('R2023'!K292+'R2022'!K292+'R2021'!K292)/3</f>
        <v>5584210.333333333</v>
      </c>
      <c r="L292" s="111">
        <f t="shared" si="13"/>
        <v>18054590.333333336</v>
      </c>
    </row>
    <row r="293" spans="1:12" collapsed="1" x14ac:dyDescent="0.35">
      <c r="A293" s="37"/>
      <c r="B293" s="69" t="s">
        <v>920</v>
      </c>
      <c r="C293" s="54"/>
      <c r="D293" s="84">
        <f>('R2023'!D293+'R2022'!D293+'R2021'!D293)/3</f>
        <v>50992.333333333336</v>
      </c>
      <c r="E293" s="84">
        <f>('R2023'!E293+'R2022'!E293+'R2021'!E293)/3</f>
        <v>254944.66666666666</v>
      </c>
      <c r="F293" s="84">
        <f>('R2023'!F293+'R2022'!F293+'R2021'!F293)/3</f>
        <v>733767.66666666663</v>
      </c>
      <c r="G293" s="84">
        <f>('R2023'!G293+'R2022'!G293+'R2021'!G293)/3</f>
        <v>360793</v>
      </c>
      <c r="H293" s="84">
        <f>('R2023'!H293+'R2022'!H293+'R2021'!H293)/3</f>
        <v>458236.33333333331</v>
      </c>
      <c r="I293" s="84">
        <f>('R2023'!I293+'R2022'!I293+'R2021'!I293)/3</f>
        <v>521165</v>
      </c>
      <c r="J293" s="71"/>
      <c r="K293" s="84">
        <f>J293+I293</f>
        <v>521165</v>
      </c>
      <c r="L293" s="67">
        <f t="shared" si="13"/>
        <v>2379899</v>
      </c>
    </row>
    <row r="294" spans="1:12" hidden="1" outlineLevel="1" x14ac:dyDescent="0.35">
      <c r="A294" s="37" t="s">
        <v>504</v>
      </c>
      <c r="B294" s="62" t="s">
        <v>505</v>
      </c>
      <c r="C294" s="54" t="s">
        <v>920</v>
      </c>
      <c r="D294" s="84">
        <f>('R2023'!D294+'R2022'!D294+'R2021'!D294)/3</f>
        <v>0</v>
      </c>
      <c r="E294" s="84">
        <f>('R2023'!E294+'R2022'!E294+'R2021'!E294)/3</f>
        <v>23946</v>
      </c>
      <c r="F294" s="84">
        <f>('R2023'!F294+'R2022'!F294+'R2021'!F294)/3</f>
        <v>16606.666666666668</v>
      </c>
      <c r="G294" s="84">
        <f>('R2023'!G294+'R2022'!G294+'R2021'!G294)/3</f>
        <v>5634.666666666667</v>
      </c>
      <c r="H294" s="84">
        <f>('R2023'!H294+'R2022'!H294+'R2021'!H294)/3</f>
        <v>0</v>
      </c>
      <c r="I294" s="84">
        <f>('R2023'!I294+'R2022'!I294+'R2021'!I294)/3</f>
        <v>0</v>
      </c>
      <c r="J294" s="71"/>
      <c r="K294" s="84">
        <f t="shared" si="12"/>
        <v>0</v>
      </c>
      <c r="L294" s="67">
        <f t="shared" si="13"/>
        <v>46187.333333333336</v>
      </c>
    </row>
    <row r="295" spans="1:12" hidden="1" outlineLevel="1" x14ac:dyDescent="0.35">
      <c r="A295" s="37" t="s">
        <v>506</v>
      </c>
      <c r="B295" s="69" t="s">
        <v>921</v>
      </c>
      <c r="C295" s="54" t="s">
        <v>920</v>
      </c>
      <c r="D295" s="84">
        <f>('R2023'!D295+'R2022'!D295+'R2021'!D295)/3</f>
        <v>0</v>
      </c>
      <c r="E295" s="84">
        <f>('R2023'!E295+'R2022'!E295+'R2021'!E295)/3</f>
        <v>0</v>
      </c>
      <c r="F295" s="84">
        <f>('R2023'!F295+'R2022'!F295+'R2021'!F295)/3</f>
        <v>0</v>
      </c>
      <c r="G295" s="84">
        <f>('R2023'!G295+'R2022'!G295+'R2021'!G295)/3</f>
        <v>190</v>
      </c>
      <c r="H295" s="84">
        <f>('R2023'!H295+'R2022'!H295+'R2021'!H295)/3</f>
        <v>0</v>
      </c>
      <c r="I295" s="84">
        <f>('R2023'!I295+'R2022'!I295+'R2021'!I295)/3</f>
        <v>0</v>
      </c>
      <c r="J295" s="71"/>
      <c r="K295" s="84">
        <f t="shared" si="12"/>
        <v>0</v>
      </c>
      <c r="L295" s="67">
        <f t="shared" si="13"/>
        <v>190</v>
      </c>
    </row>
    <row r="296" spans="1:12" hidden="1" outlineLevel="1" x14ac:dyDescent="0.35">
      <c r="A296" s="37" t="s">
        <v>508</v>
      </c>
      <c r="B296" s="62" t="s">
        <v>335</v>
      </c>
      <c r="C296" s="54" t="s">
        <v>920</v>
      </c>
      <c r="D296" s="84">
        <f>('R2023'!D296+'R2022'!D296+'R2021'!D296)/3</f>
        <v>0</v>
      </c>
      <c r="E296" s="84">
        <f>('R2023'!E296+'R2022'!E296+'R2021'!E296)/3</f>
        <v>0</v>
      </c>
      <c r="F296" s="84">
        <f>('R2023'!F296+'R2022'!F296+'R2021'!F296)/3</f>
        <v>0</v>
      </c>
      <c r="G296" s="84">
        <f>('R2023'!G296+'R2022'!G296+'R2021'!G296)/3</f>
        <v>0</v>
      </c>
      <c r="H296" s="84">
        <f>('R2023'!H296+'R2022'!H296+'R2021'!H296)/3</f>
        <v>0</v>
      </c>
      <c r="I296" s="84">
        <f>('R2023'!I296+'R2022'!I296+'R2021'!I296)/3</f>
        <v>0</v>
      </c>
      <c r="J296" s="71"/>
      <c r="K296" s="84">
        <f t="shared" si="12"/>
        <v>0</v>
      </c>
      <c r="L296" s="67">
        <f t="shared" si="13"/>
        <v>0</v>
      </c>
    </row>
    <row r="297" spans="1:12" hidden="1" outlineLevel="1" x14ac:dyDescent="0.35">
      <c r="A297" s="37" t="s">
        <v>509</v>
      </c>
      <c r="B297" s="62" t="s">
        <v>337</v>
      </c>
      <c r="C297" s="54" t="s">
        <v>920</v>
      </c>
      <c r="D297" s="84">
        <f>('R2023'!D297+'R2022'!D297+'R2021'!D297)/3</f>
        <v>0</v>
      </c>
      <c r="E297" s="84">
        <f>('R2023'!E297+'R2022'!E297+'R2021'!E297)/3</f>
        <v>0</v>
      </c>
      <c r="F297" s="84">
        <f>('R2023'!F297+'R2022'!F297+'R2021'!F297)/3</f>
        <v>0</v>
      </c>
      <c r="G297" s="84">
        <f>('R2023'!G297+'R2022'!G297+'R2021'!G297)/3</f>
        <v>0</v>
      </c>
      <c r="H297" s="84">
        <f>('R2023'!H297+'R2022'!H297+'R2021'!H297)/3</f>
        <v>0</v>
      </c>
      <c r="I297" s="84">
        <f>('R2023'!I297+'R2022'!I297+'R2021'!I297)/3</f>
        <v>0</v>
      </c>
      <c r="J297" s="71"/>
      <c r="K297" s="84">
        <f t="shared" si="12"/>
        <v>0</v>
      </c>
      <c r="L297" s="67">
        <f t="shared" si="13"/>
        <v>0</v>
      </c>
    </row>
    <row r="298" spans="1:12" hidden="1" outlineLevel="1" x14ac:dyDescent="0.35">
      <c r="A298" s="37" t="s">
        <v>510</v>
      </c>
      <c r="B298" s="62" t="s">
        <v>341</v>
      </c>
      <c r="C298" s="54" t="s">
        <v>920</v>
      </c>
      <c r="D298" s="84">
        <f>('R2023'!D298+'R2022'!D298+'R2021'!D298)/3</f>
        <v>0</v>
      </c>
      <c r="E298" s="84">
        <f>('R2023'!E298+'R2022'!E298+'R2021'!E298)/3</f>
        <v>0</v>
      </c>
      <c r="F298" s="84">
        <f>('R2023'!F298+'R2022'!F298+'R2021'!F298)/3</f>
        <v>0</v>
      </c>
      <c r="G298" s="84">
        <f>('R2023'!G298+'R2022'!G298+'R2021'!G298)/3</f>
        <v>0</v>
      </c>
      <c r="H298" s="84">
        <f>('R2023'!H298+'R2022'!H298+'R2021'!H298)/3</f>
        <v>0</v>
      </c>
      <c r="I298" s="84">
        <f>('R2023'!I298+'R2022'!I298+'R2021'!I298)/3</f>
        <v>0</v>
      </c>
      <c r="J298" s="71"/>
      <c r="K298" s="84">
        <f t="shared" si="12"/>
        <v>0</v>
      </c>
      <c r="L298" s="67">
        <f t="shared" si="13"/>
        <v>0</v>
      </c>
    </row>
    <row r="299" spans="1:12" hidden="1" outlineLevel="1" x14ac:dyDescent="0.35">
      <c r="A299" s="37" t="s">
        <v>511</v>
      </c>
      <c r="B299" s="62" t="s">
        <v>345</v>
      </c>
      <c r="C299" s="54" t="s">
        <v>920</v>
      </c>
      <c r="D299" s="84">
        <f>('R2023'!D299+'R2022'!D299+'R2021'!D299)/3</f>
        <v>0</v>
      </c>
      <c r="E299" s="84">
        <f>('R2023'!E299+'R2022'!E299+'R2021'!E299)/3</f>
        <v>0</v>
      </c>
      <c r="F299" s="84">
        <f>('R2023'!F299+'R2022'!F299+'R2021'!F299)/3</f>
        <v>0</v>
      </c>
      <c r="G299" s="84">
        <f>('R2023'!G299+'R2022'!G299+'R2021'!G299)/3</f>
        <v>0</v>
      </c>
      <c r="H299" s="84">
        <f>('R2023'!H299+'R2022'!H299+'R2021'!H299)/3</f>
        <v>0</v>
      </c>
      <c r="I299" s="84">
        <f>('R2023'!I299+'R2022'!I299+'R2021'!I299)/3</f>
        <v>0</v>
      </c>
      <c r="J299" s="71"/>
      <c r="K299" s="84">
        <f t="shared" si="12"/>
        <v>0</v>
      </c>
      <c r="L299" s="67">
        <f t="shared" si="13"/>
        <v>0</v>
      </c>
    </row>
    <row r="300" spans="1:12" hidden="1" outlineLevel="1" x14ac:dyDescent="0.35">
      <c r="A300" s="37" t="s">
        <v>512</v>
      </c>
      <c r="B300" s="62" t="s">
        <v>347</v>
      </c>
      <c r="C300" s="54" t="s">
        <v>920</v>
      </c>
      <c r="D300" s="84">
        <f>('R2023'!D300+'R2022'!D300+'R2021'!D300)/3</f>
        <v>0</v>
      </c>
      <c r="E300" s="84">
        <f>('R2023'!E300+'R2022'!E300+'R2021'!E300)/3</f>
        <v>0</v>
      </c>
      <c r="F300" s="84">
        <f>('R2023'!F300+'R2022'!F300+'R2021'!F300)/3</f>
        <v>0</v>
      </c>
      <c r="G300" s="84">
        <f>('R2023'!G300+'R2022'!G300+'R2021'!G300)/3</f>
        <v>0</v>
      </c>
      <c r="H300" s="84">
        <f>('R2023'!H300+'R2022'!H300+'R2021'!H300)/3</f>
        <v>0</v>
      </c>
      <c r="I300" s="84">
        <f>('R2023'!I300+'R2022'!I300+'R2021'!I300)/3</f>
        <v>0</v>
      </c>
      <c r="J300" s="71"/>
      <c r="K300" s="84">
        <f t="shared" si="12"/>
        <v>0</v>
      </c>
      <c r="L300" s="67">
        <f t="shared" si="13"/>
        <v>0</v>
      </c>
    </row>
    <row r="301" spans="1:12" hidden="1" outlineLevel="1" x14ac:dyDescent="0.35">
      <c r="A301" s="37" t="s">
        <v>513</v>
      </c>
      <c r="B301" s="62" t="s">
        <v>349</v>
      </c>
      <c r="C301" s="54" t="s">
        <v>920</v>
      </c>
      <c r="D301" s="84">
        <f>('R2023'!D301+'R2022'!D301+'R2021'!D301)/3</f>
        <v>0</v>
      </c>
      <c r="E301" s="84">
        <f>('R2023'!E301+'R2022'!E301+'R2021'!E301)/3</f>
        <v>0</v>
      </c>
      <c r="F301" s="84">
        <f>('R2023'!F301+'R2022'!F301+'R2021'!F301)/3</f>
        <v>0</v>
      </c>
      <c r="G301" s="84">
        <f>('R2023'!G301+'R2022'!G301+'R2021'!G301)/3</f>
        <v>0</v>
      </c>
      <c r="H301" s="84">
        <f>('R2023'!H301+'R2022'!H301+'R2021'!H301)/3</f>
        <v>0</v>
      </c>
      <c r="I301" s="84">
        <f>('R2023'!I301+'R2022'!I301+'R2021'!I301)/3</f>
        <v>0</v>
      </c>
      <c r="J301" s="71"/>
      <c r="K301" s="84">
        <f t="shared" si="12"/>
        <v>0</v>
      </c>
      <c r="L301" s="67">
        <f t="shared" si="13"/>
        <v>0</v>
      </c>
    </row>
    <row r="302" spans="1:12" hidden="1" outlineLevel="1" x14ac:dyDescent="0.35">
      <c r="A302" s="37" t="s">
        <v>514</v>
      </c>
      <c r="B302" s="62" t="s">
        <v>515</v>
      </c>
      <c r="C302" s="54" t="s">
        <v>920</v>
      </c>
      <c r="D302" s="84">
        <f>('R2023'!D302+'R2022'!D302+'R2021'!D302)/3</f>
        <v>0</v>
      </c>
      <c r="E302" s="84">
        <f>('R2023'!E302+'R2022'!E302+'R2021'!E302)/3</f>
        <v>0</v>
      </c>
      <c r="F302" s="84">
        <f>('R2023'!F302+'R2022'!F302+'R2021'!F302)/3</f>
        <v>0</v>
      </c>
      <c r="G302" s="84">
        <f>('R2023'!G302+'R2022'!G302+'R2021'!G302)/3</f>
        <v>0</v>
      </c>
      <c r="H302" s="84">
        <f>('R2023'!H302+'R2022'!H302+'R2021'!H302)/3</f>
        <v>0</v>
      </c>
      <c r="I302" s="84">
        <f>('R2023'!I302+'R2022'!I302+'R2021'!I302)/3</f>
        <v>0</v>
      </c>
      <c r="J302" s="71"/>
      <c r="K302" s="84">
        <f t="shared" si="12"/>
        <v>0</v>
      </c>
      <c r="L302" s="67">
        <f t="shared" si="13"/>
        <v>0</v>
      </c>
    </row>
    <row r="303" spans="1:12" hidden="1" outlineLevel="1" x14ac:dyDescent="0.35">
      <c r="A303" s="37" t="s">
        <v>516</v>
      </c>
      <c r="B303" s="62" t="s">
        <v>517</v>
      </c>
      <c r="C303" s="54" t="s">
        <v>920</v>
      </c>
      <c r="D303" s="84">
        <f>('R2023'!D303+'R2022'!D303+'R2021'!D303)/3</f>
        <v>0</v>
      </c>
      <c r="E303" s="84">
        <f>('R2023'!E303+'R2022'!E303+'R2021'!E303)/3</f>
        <v>0</v>
      </c>
      <c r="F303" s="84">
        <f>('R2023'!F303+'R2022'!F303+'R2021'!F303)/3</f>
        <v>0</v>
      </c>
      <c r="G303" s="84">
        <f>('R2023'!G303+'R2022'!G303+'R2021'!G303)/3</f>
        <v>0</v>
      </c>
      <c r="H303" s="84">
        <f>('R2023'!H303+'R2022'!H303+'R2021'!H303)/3</f>
        <v>0</v>
      </c>
      <c r="I303" s="84">
        <f>('R2023'!I303+'R2022'!I303+'R2021'!I303)/3</f>
        <v>0</v>
      </c>
      <c r="J303" s="71"/>
      <c r="K303" s="84">
        <f t="shared" si="12"/>
        <v>0</v>
      </c>
      <c r="L303" s="67">
        <f t="shared" si="13"/>
        <v>0</v>
      </c>
    </row>
    <row r="304" spans="1:12" hidden="1" outlineLevel="1" x14ac:dyDescent="0.35">
      <c r="A304" s="37" t="s">
        <v>518</v>
      </c>
      <c r="B304" s="62" t="s">
        <v>519</v>
      </c>
      <c r="C304" s="54" t="s">
        <v>920</v>
      </c>
      <c r="D304" s="84">
        <f>('R2023'!D304+'R2022'!D304+'R2021'!D304)/3</f>
        <v>10645.333333333334</v>
      </c>
      <c r="E304" s="84">
        <f>('R2023'!E304+'R2022'!E304+'R2021'!E304)/3</f>
        <v>2312.3333333333335</v>
      </c>
      <c r="F304" s="84">
        <f>('R2023'!F304+'R2022'!F304+'R2021'!F304)/3</f>
        <v>85591.666666666672</v>
      </c>
      <c r="G304" s="84">
        <f>('R2023'!G304+'R2022'!G304+'R2021'!G304)/3</f>
        <v>10669.666666666666</v>
      </c>
      <c r="H304" s="84">
        <f>('R2023'!H304+'R2022'!H304+'R2021'!H304)/3</f>
        <v>182680.33333333334</v>
      </c>
      <c r="I304" s="84">
        <f>('R2023'!I304+'R2022'!I304+'R2021'!I304)/3</f>
        <v>0</v>
      </c>
      <c r="J304" s="71"/>
      <c r="K304" s="84">
        <f t="shared" si="12"/>
        <v>0</v>
      </c>
      <c r="L304" s="67">
        <f t="shared" si="13"/>
        <v>291899.33333333337</v>
      </c>
    </row>
    <row r="305" spans="1:12" hidden="1" outlineLevel="1" x14ac:dyDescent="0.35">
      <c r="A305" s="37" t="s">
        <v>520</v>
      </c>
      <c r="B305" s="62" t="s">
        <v>521</v>
      </c>
      <c r="C305" s="54" t="s">
        <v>920</v>
      </c>
      <c r="D305" s="84">
        <f>('R2023'!D305+'R2022'!D305+'R2021'!D305)/3</f>
        <v>0</v>
      </c>
      <c r="E305" s="84">
        <f>('R2023'!E305+'R2022'!E305+'R2021'!E305)/3</f>
        <v>0</v>
      </c>
      <c r="F305" s="84">
        <f>('R2023'!F305+'R2022'!F305+'R2021'!F305)/3</f>
        <v>0</v>
      </c>
      <c r="G305" s="84">
        <f>('R2023'!G305+'R2022'!G305+'R2021'!G305)/3</f>
        <v>0</v>
      </c>
      <c r="H305" s="84">
        <f>('R2023'!H305+'R2022'!H305+'R2021'!H305)/3</f>
        <v>0</v>
      </c>
      <c r="I305" s="84">
        <f>('R2023'!I305+'R2022'!I305+'R2021'!I305)/3</f>
        <v>0</v>
      </c>
      <c r="J305" s="71"/>
      <c r="K305" s="84">
        <f t="shared" si="12"/>
        <v>0</v>
      </c>
      <c r="L305" s="67">
        <f t="shared" si="13"/>
        <v>0</v>
      </c>
    </row>
    <row r="306" spans="1:12" hidden="1" outlineLevel="1" x14ac:dyDescent="0.35">
      <c r="A306" s="37" t="s">
        <v>522</v>
      </c>
      <c r="B306" s="62" t="s">
        <v>365</v>
      </c>
      <c r="C306" s="54" t="s">
        <v>920</v>
      </c>
      <c r="D306" s="84">
        <f>('R2023'!D306+'R2022'!D306+'R2021'!D306)/3</f>
        <v>0</v>
      </c>
      <c r="E306" s="84">
        <f>('R2023'!E306+'R2022'!E306+'R2021'!E306)/3</f>
        <v>0</v>
      </c>
      <c r="F306" s="84">
        <f>('R2023'!F306+'R2022'!F306+'R2021'!F306)/3</f>
        <v>85382.666666666672</v>
      </c>
      <c r="G306" s="84">
        <f>('R2023'!G306+'R2022'!G306+'R2021'!G306)/3</f>
        <v>3293.6666666666665</v>
      </c>
      <c r="H306" s="84">
        <f>('R2023'!H306+'R2022'!H306+'R2021'!H306)/3</f>
        <v>0</v>
      </c>
      <c r="I306" s="84">
        <f>('R2023'!I306+'R2022'!I306+'R2021'!I306)/3</f>
        <v>0</v>
      </c>
      <c r="J306" s="71"/>
      <c r="K306" s="84">
        <f t="shared" si="12"/>
        <v>0</v>
      </c>
      <c r="L306" s="67">
        <f t="shared" si="13"/>
        <v>88676.333333333343</v>
      </c>
    </row>
    <row r="307" spans="1:12" hidden="1" outlineLevel="1" x14ac:dyDescent="0.35">
      <c r="A307" s="37" t="s">
        <v>523</v>
      </c>
      <c r="B307" s="62" t="s">
        <v>524</v>
      </c>
      <c r="C307" s="54" t="s">
        <v>920</v>
      </c>
      <c r="D307" s="84">
        <f>('R2023'!D307+'R2022'!D307+'R2021'!D307)/3</f>
        <v>0</v>
      </c>
      <c r="E307" s="84">
        <f>('R2023'!E307+'R2022'!E307+'R2021'!E307)/3</f>
        <v>0</v>
      </c>
      <c r="F307" s="84">
        <f>('R2023'!F307+'R2022'!F307+'R2021'!F307)/3</f>
        <v>0</v>
      </c>
      <c r="G307" s="84">
        <f>('R2023'!G307+'R2022'!G307+'R2021'!G307)/3</f>
        <v>0</v>
      </c>
      <c r="H307" s="84">
        <f>('R2023'!H307+'R2022'!H307+'R2021'!H307)/3</f>
        <v>0</v>
      </c>
      <c r="I307" s="84">
        <f>('R2023'!I307+'R2022'!I307+'R2021'!I307)/3</f>
        <v>0</v>
      </c>
      <c r="J307" s="71"/>
      <c r="K307" s="84">
        <f t="shared" si="12"/>
        <v>0</v>
      </c>
      <c r="L307" s="67">
        <f t="shared" si="13"/>
        <v>0</v>
      </c>
    </row>
    <row r="308" spans="1:12" hidden="1" outlineLevel="1" x14ac:dyDescent="0.35">
      <c r="A308" s="37" t="s">
        <v>525</v>
      </c>
      <c r="B308" s="62" t="s">
        <v>526</v>
      </c>
      <c r="C308" s="54" t="s">
        <v>920</v>
      </c>
      <c r="D308" s="84">
        <f>('R2023'!D308+'R2022'!D308+'R2021'!D308)/3</f>
        <v>0</v>
      </c>
      <c r="E308" s="84">
        <f>('R2023'!E308+'R2022'!E308+'R2021'!E308)/3</f>
        <v>0</v>
      </c>
      <c r="F308" s="84">
        <f>('R2023'!F308+'R2022'!F308+'R2021'!F308)/3</f>
        <v>0</v>
      </c>
      <c r="G308" s="84">
        <f>('R2023'!G308+'R2022'!G308+'R2021'!G308)/3</f>
        <v>0</v>
      </c>
      <c r="H308" s="84">
        <f>('R2023'!H308+'R2022'!H308+'R2021'!H308)/3</f>
        <v>0</v>
      </c>
      <c r="I308" s="84">
        <f>('R2023'!I308+'R2022'!I308+'R2021'!I308)/3</f>
        <v>0</v>
      </c>
      <c r="J308" s="71"/>
      <c r="K308" s="84">
        <f t="shared" si="12"/>
        <v>0</v>
      </c>
      <c r="L308" s="67">
        <f t="shared" si="13"/>
        <v>0</v>
      </c>
    </row>
    <row r="309" spans="1:12" hidden="1" outlineLevel="1" x14ac:dyDescent="0.35">
      <c r="A309" s="37" t="s">
        <v>527</v>
      </c>
      <c r="B309" s="62" t="s">
        <v>528</v>
      </c>
      <c r="C309" s="54" t="s">
        <v>920</v>
      </c>
      <c r="D309" s="84">
        <f>('R2023'!D309+'R2022'!D309+'R2021'!D309)/3</f>
        <v>0</v>
      </c>
      <c r="E309" s="84">
        <f>('R2023'!E309+'R2022'!E309+'R2021'!E309)/3</f>
        <v>0</v>
      </c>
      <c r="F309" s="84">
        <f>('R2023'!F309+'R2022'!F309+'R2021'!F309)/3</f>
        <v>0</v>
      </c>
      <c r="G309" s="84">
        <f>('R2023'!G309+'R2022'!G309+'R2021'!G309)/3</f>
        <v>0</v>
      </c>
      <c r="H309" s="84">
        <f>('R2023'!H309+'R2022'!H309+'R2021'!H309)/3</f>
        <v>0</v>
      </c>
      <c r="I309" s="84">
        <f>('R2023'!I309+'R2022'!I309+'R2021'!I309)/3</f>
        <v>0</v>
      </c>
      <c r="J309" s="71"/>
      <c r="K309" s="84">
        <f t="shared" si="12"/>
        <v>0</v>
      </c>
      <c r="L309" s="67">
        <f t="shared" si="13"/>
        <v>0</v>
      </c>
    </row>
    <row r="310" spans="1:12" hidden="1" outlineLevel="1" x14ac:dyDescent="0.35">
      <c r="A310" s="37" t="s">
        <v>529</v>
      </c>
      <c r="B310" s="62" t="s">
        <v>530</v>
      </c>
      <c r="C310" s="54" t="s">
        <v>920</v>
      </c>
      <c r="D310" s="84">
        <f>('R2023'!D310+'R2022'!D310+'R2021'!D310)/3</f>
        <v>0</v>
      </c>
      <c r="E310" s="84">
        <f>('R2023'!E310+'R2022'!E310+'R2021'!E310)/3</f>
        <v>0</v>
      </c>
      <c r="F310" s="84">
        <f>('R2023'!F310+'R2022'!F310+'R2021'!F310)/3</f>
        <v>0</v>
      </c>
      <c r="G310" s="84">
        <f>('R2023'!G310+'R2022'!G310+'R2021'!G310)/3</f>
        <v>1</v>
      </c>
      <c r="H310" s="84">
        <f>('R2023'!H310+'R2022'!H310+'R2021'!H310)/3</f>
        <v>0</v>
      </c>
      <c r="I310" s="84">
        <f>('R2023'!I310+'R2022'!I310+'R2021'!I310)/3</f>
        <v>0</v>
      </c>
      <c r="J310" s="71"/>
      <c r="K310" s="84">
        <f t="shared" si="12"/>
        <v>0</v>
      </c>
      <c r="L310" s="67">
        <f t="shared" si="13"/>
        <v>1</v>
      </c>
    </row>
    <row r="311" spans="1:12" hidden="1" outlineLevel="1" x14ac:dyDescent="0.35">
      <c r="A311" s="37" t="s">
        <v>531</v>
      </c>
      <c r="B311" s="62" t="s">
        <v>532</v>
      </c>
      <c r="C311" s="54" t="s">
        <v>920</v>
      </c>
      <c r="D311" s="84">
        <f>('R2023'!D311+'R2022'!D311+'R2021'!D311)/3</f>
        <v>0</v>
      </c>
      <c r="E311" s="84">
        <f>('R2023'!E311+'R2022'!E311+'R2021'!E311)/3</f>
        <v>0</v>
      </c>
      <c r="F311" s="84">
        <f>('R2023'!F311+'R2022'!F311+'R2021'!F311)/3</f>
        <v>0</v>
      </c>
      <c r="G311" s="84">
        <f>('R2023'!G311+'R2022'!G311+'R2021'!G311)/3</f>
        <v>0</v>
      </c>
      <c r="H311" s="84">
        <f>('R2023'!H311+'R2022'!H311+'R2021'!H311)/3</f>
        <v>0</v>
      </c>
      <c r="I311" s="84">
        <f>('R2023'!I311+'R2022'!I311+'R2021'!I311)/3</f>
        <v>0</v>
      </c>
      <c r="J311" s="71"/>
      <c r="K311" s="84">
        <f t="shared" si="12"/>
        <v>0</v>
      </c>
      <c r="L311" s="67">
        <f t="shared" si="13"/>
        <v>0</v>
      </c>
    </row>
    <row r="312" spans="1:12" hidden="1" outlineLevel="1" x14ac:dyDescent="0.35">
      <c r="A312" s="37" t="s">
        <v>533</v>
      </c>
      <c r="B312" s="62" t="s">
        <v>534</v>
      </c>
      <c r="C312" s="54" t="s">
        <v>920</v>
      </c>
      <c r="D312" s="84">
        <f>('R2023'!D312+'R2022'!D312+'R2021'!D312)/3</f>
        <v>0</v>
      </c>
      <c r="E312" s="84">
        <f>('R2023'!E312+'R2022'!E312+'R2021'!E312)/3</f>
        <v>0</v>
      </c>
      <c r="F312" s="84">
        <f>('R2023'!F312+'R2022'!F312+'R2021'!F312)/3</f>
        <v>0</v>
      </c>
      <c r="G312" s="84">
        <f>('R2023'!G312+'R2022'!G312+'R2021'!G312)/3</f>
        <v>482.33333333333331</v>
      </c>
      <c r="H312" s="84">
        <f>('R2023'!H312+'R2022'!H312+'R2021'!H312)/3</f>
        <v>0</v>
      </c>
      <c r="I312" s="84">
        <f>('R2023'!I312+'R2022'!I312+'R2021'!I312)/3</f>
        <v>0</v>
      </c>
      <c r="J312" s="71"/>
      <c r="K312" s="84">
        <f t="shared" si="12"/>
        <v>0</v>
      </c>
      <c r="L312" s="67">
        <f t="shared" si="13"/>
        <v>482.33333333333331</v>
      </c>
    </row>
    <row r="313" spans="1:12" hidden="1" outlineLevel="1" x14ac:dyDescent="0.35">
      <c r="A313" s="37" t="s">
        <v>535</v>
      </c>
      <c r="B313" s="62" t="s">
        <v>536</v>
      </c>
      <c r="C313" s="54" t="s">
        <v>920</v>
      </c>
      <c r="D313" s="84">
        <f>('R2023'!D313+'R2022'!D313+'R2021'!D313)/3</f>
        <v>40347</v>
      </c>
      <c r="E313" s="84">
        <f>('R2023'!E313+'R2022'!E313+'R2021'!E313)/3</f>
        <v>63465</v>
      </c>
      <c r="F313" s="84">
        <f>('R2023'!F313+'R2022'!F313+'R2021'!F313)/3</f>
        <v>309280</v>
      </c>
      <c r="G313" s="84">
        <f>('R2023'!G313+'R2022'!G313+'R2021'!G313)/3</f>
        <v>63993</v>
      </c>
      <c r="H313" s="84">
        <f>('R2023'!H313+'R2022'!H313+'R2021'!H313)/3</f>
        <v>0</v>
      </c>
      <c r="I313" s="84">
        <f>('R2023'!I313+'R2022'!I313+'R2021'!I313)/3</f>
        <v>86126.666666666672</v>
      </c>
      <c r="J313" s="71"/>
      <c r="K313" s="84">
        <f t="shared" si="12"/>
        <v>86126.666666666672</v>
      </c>
      <c r="L313" s="67">
        <f t="shared" si="13"/>
        <v>563211.66666666674</v>
      </c>
    </row>
    <row r="314" spans="1:12" hidden="1" outlineLevel="1" x14ac:dyDescent="0.35">
      <c r="A314" s="37" t="s">
        <v>537</v>
      </c>
      <c r="B314" s="62" t="s">
        <v>538</v>
      </c>
      <c r="C314" s="54" t="s">
        <v>920</v>
      </c>
      <c r="D314" s="84">
        <f>('R2023'!D314+'R2022'!D314+'R2021'!D314)/3</f>
        <v>0</v>
      </c>
      <c r="E314" s="84">
        <f>('R2023'!E314+'R2022'!E314+'R2021'!E314)/3</f>
        <v>97341</v>
      </c>
      <c r="F314" s="84">
        <f>('R2023'!F314+'R2022'!F314+'R2021'!F314)/3</f>
        <v>0</v>
      </c>
      <c r="G314" s="84">
        <f>('R2023'!G314+'R2022'!G314+'R2021'!G314)/3</f>
        <v>0</v>
      </c>
      <c r="H314" s="84">
        <f>('R2023'!H314+'R2022'!H314+'R2021'!H314)/3</f>
        <v>0</v>
      </c>
      <c r="I314" s="84">
        <f>('R2023'!I314+'R2022'!I314+'R2021'!I314)/3</f>
        <v>0</v>
      </c>
      <c r="J314" s="71"/>
      <c r="K314" s="84">
        <f t="shared" si="12"/>
        <v>0</v>
      </c>
      <c r="L314" s="67">
        <f t="shared" si="13"/>
        <v>97341</v>
      </c>
    </row>
    <row r="315" spans="1:12" hidden="1" outlineLevel="1" x14ac:dyDescent="0.35">
      <c r="A315" s="37" t="s">
        <v>539</v>
      </c>
      <c r="B315" s="62" t="s">
        <v>540</v>
      </c>
      <c r="C315" s="54" t="s">
        <v>920</v>
      </c>
      <c r="D315" s="84">
        <f>('R2023'!D315+'R2022'!D315+'R2021'!D315)/3</f>
        <v>0</v>
      </c>
      <c r="E315" s="84">
        <f>('R2023'!E315+'R2022'!E315+'R2021'!E315)/3</f>
        <v>6773.333333333333</v>
      </c>
      <c r="F315" s="84">
        <f>('R2023'!F315+'R2022'!F315+'R2021'!F315)/3</f>
        <v>0</v>
      </c>
      <c r="G315" s="84">
        <f>('R2023'!G315+'R2022'!G315+'R2021'!G315)/3</f>
        <v>0</v>
      </c>
      <c r="H315" s="84">
        <f>('R2023'!H315+'R2022'!H315+'R2021'!H315)/3</f>
        <v>0</v>
      </c>
      <c r="I315" s="84">
        <f>('R2023'!I315+'R2022'!I315+'R2021'!I315)/3</f>
        <v>0</v>
      </c>
      <c r="J315" s="71"/>
      <c r="K315" s="84">
        <f t="shared" si="12"/>
        <v>0</v>
      </c>
      <c r="L315" s="67">
        <f t="shared" si="13"/>
        <v>6773.333333333333</v>
      </c>
    </row>
    <row r="316" spans="1:12" hidden="1" outlineLevel="1" x14ac:dyDescent="0.35">
      <c r="A316" s="37" t="s">
        <v>541</v>
      </c>
      <c r="B316" s="62" t="s">
        <v>542</v>
      </c>
      <c r="C316" s="54" t="s">
        <v>920</v>
      </c>
      <c r="D316" s="84">
        <f>('R2023'!D316+'R2022'!D316+'R2021'!D316)/3</f>
        <v>0</v>
      </c>
      <c r="E316" s="84">
        <f>('R2023'!E316+'R2022'!E316+'R2021'!E316)/3</f>
        <v>0</v>
      </c>
      <c r="F316" s="84">
        <f>('R2023'!F316+'R2022'!F316+'R2021'!F316)/3</f>
        <v>0</v>
      </c>
      <c r="G316" s="84">
        <f>('R2023'!G316+'R2022'!G316+'R2021'!G316)/3</f>
        <v>21.666666666666668</v>
      </c>
      <c r="H316" s="84">
        <f>('R2023'!H316+'R2022'!H316+'R2021'!H316)/3</f>
        <v>0</v>
      </c>
      <c r="I316" s="84">
        <f>('R2023'!I316+'R2022'!I316+'R2021'!I316)/3</f>
        <v>0</v>
      </c>
      <c r="J316" s="71"/>
      <c r="K316" s="84">
        <f t="shared" si="12"/>
        <v>0</v>
      </c>
      <c r="L316" s="67">
        <f t="shared" si="13"/>
        <v>21.666666666666668</v>
      </c>
    </row>
    <row r="317" spans="1:12" hidden="1" outlineLevel="1" x14ac:dyDescent="0.35">
      <c r="A317" s="37" t="s">
        <v>543</v>
      </c>
      <c r="B317" s="62" t="s">
        <v>544</v>
      </c>
      <c r="C317" s="54" t="s">
        <v>920</v>
      </c>
      <c r="D317" s="84">
        <f>('R2023'!D317+'R2022'!D317+'R2021'!D317)/3</f>
        <v>0</v>
      </c>
      <c r="E317" s="84">
        <f>('R2023'!E317+'R2022'!E317+'R2021'!E317)/3</f>
        <v>0</v>
      </c>
      <c r="F317" s="84">
        <f>('R2023'!F317+'R2022'!F317+'R2021'!F317)/3</f>
        <v>180488.66666666666</v>
      </c>
      <c r="G317" s="84">
        <f>('R2023'!G317+'R2022'!G317+'R2021'!G317)/3</f>
        <v>152429.66666666666</v>
      </c>
      <c r="H317" s="84">
        <f>('R2023'!H317+'R2022'!H317+'R2021'!H317)/3</f>
        <v>329791</v>
      </c>
      <c r="I317" s="84">
        <f>('R2023'!I317+'R2022'!I317+'R2021'!I317)/3</f>
        <v>420303.66666666669</v>
      </c>
      <c r="J317" s="71"/>
      <c r="K317" s="84">
        <f t="shared" si="12"/>
        <v>420303.66666666669</v>
      </c>
      <c r="L317" s="67">
        <f t="shared" si="13"/>
        <v>1083013</v>
      </c>
    </row>
    <row r="318" spans="1:12" hidden="1" outlineLevel="1" x14ac:dyDescent="0.35">
      <c r="A318" s="37" t="s">
        <v>545</v>
      </c>
      <c r="B318" s="77" t="s">
        <v>546</v>
      </c>
      <c r="C318" s="54" t="s">
        <v>920</v>
      </c>
      <c r="D318" s="84">
        <f>('R2023'!D318+'R2022'!D318+'R2021'!D318)/3</f>
        <v>0</v>
      </c>
      <c r="E318" s="84">
        <f>('R2023'!E318+'R2022'!E318+'R2021'!E318)/3</f>
        <v>12633.333333333334</v>
      </c>
      <c r="F318" s="84">
        <f>('R2023'!F318+'R2022'!F318+'R2021'!F318)/3</f>
        <v>56418</v>
      </c>
      <c r="G318" s="84">
        <f>('R2023'!G318+'R2022'!G318+'R2021'!G318)/3</f>
        <v>0</v>
      </c>
      <c r="H318" s="84">
        <f>('R2023'!H318+'R2022'!H318+'R2021'!H318)/3</f>
        <v>0</v>
      </c>
      <c r="I318" s="84">
        <f>('R2023'!I318+'R2022'!I318+'R2021'!I318)/3</f>
        <v>0</v>
      </c>
      <c r="J318" s="71"/>
      <c r="K318" s="84">
        <f t="shared" si="12"/>
        <v>0</v>
      </c>
      <c r="L318" s="67">
        <f t="shared" si="13"/>
        <v>69051.333333333328</v>
      </c>
    </row>
    <row r="319" spans="1:12" hidden="1" outlineLevel="1" x14ac:dyDescent="0.35">
      <c r="A319" s="37" t="s">
        <v>547</v>
      </c>
      <c r="B319" s="77" t="s">
        <v>548</v>
      </c>
      <c r="C319" s="54" t="s">
        <v>920</v>
      </c>
      <c r="D319" s="84">
        <f>('R2023'!D319+'R2022'!D319+'R2021'!D319)/3</f>
        <v>0</v>
      </c>
      <c r="E319" s="84">
        <f>('R2023'!E319+'R2022'!E319+'R2021'!E319)/3</f>
        <v>18612.666666666668</v>
      </c>
      <c r="F319" s="84">
        <f>('R2023'!F319+'R2022'!F319+'R2021'!F319)/3</f>
        <v>0</v>
      </c>
      <c r="G319" s="84">
        <f>('R2023'!G319+'R2022'!G319+'R2021'!G319)/3</f>
        <v>0</v>
      </c>
      <c r="H319" s="84">
        <f>('R2023'!H319+'R2022'!H319+'R2021'!H319)/3</f>
        <v>0</v>
      </c>
      <c r="I319" s="84">
        <f>('R2023'!I319+'R2022'!I319+'R2021'!I319)/3</f>
        <v>13873</v>
      </c>
      <c r="J319" s="71"/>
      <c r="K319" s="84">
        <f t="shared" si="12"/>
        <v>13873</v>
      </c>
      <c r="L319" s="67">
        <f t="shared" si="13"/>
        <v>32485.666666666668</v>
      </c>
    </row>
    <row r="320" spans="1:12" hidden="1" outlineLevel="1" x14ac:dyDescent="0.35">
      <c r="A320" s="37" t="s">
        <v>549</v>
      </c>
      <c r="B320" s="62" t="s">
        <v>550</v>
      </c>
      <c r="C320" s="54" t="s">
        <v>920</v>
      </c>
      <c r="D320" s="84">
        <f>('R2023'!D320+'R2022'!D320+'R2021'!D320)/3</f>
        <v>0</v>
      </c>
      <c r="E320" s="84">
        <f>('R2023'!E320+'R2022'!E320+'R2021'!E320)/3</f>
        <v>20065.666666666668</v>
      </c>
      <c r="F320" s="84">
        <f>('R2023'!F320+'R2022'!F320+'R2021'!F320)/3</f>
        <v>0</v>
      </c>
      <c r="G320" s="84">
        <f>('R2023'!G320+'R2022'!G320+'R2021'!G320)/3</f>
        <v>108457.33333333333</v>
      </c>
      <c r="H320" s="84">
        <f>('R2023'!H320+'R2022'!H320+'R2021'!H320)/3</f>
        <v>0</v>
      </c>
      <c r="I320" s="84">
        <f>('R2023'!I320+'R2022'!I320+'R2021'!I320)/3</f>
        <v>861.66666666666663</v>
      </c>
      <c r="J320" s="71"/>
      <c r="K320" s="84">
        <f t="shared" si="12"/>
        <v>861.66666666666663</v>
      </c>
      <c r="L320" s="67">
        <f t="shared" si="13"/>
        <v>129384.66666666666</v>
      </c>
    </row>
    <row r="321" spans="1:12" hidden="1" outlineLevel="1" x14ac:dyDescent="0.35">
      <c r="A321" s="37" t="s">
        <v>551</v>
      </c>
      <c r="B321" s="62" t="s">
        <v>552</v>
      </c>
      <c r="C321" s="54" t="s">
        <v>920</v>
      </c>
      <c r="D321" s="84">
        <f>('R2023'!D321+'R2022'!D321+'R2021'!D321)/3</f>
        <v>0</v>
      </c>
      <c r="E321" s="84">
        <f>('R2023'!E321+'R2022'!E321+'R2021'!E321)/3</f>
        <v>0</v>
      </c>
      <c r="F321" s="84">
        <f>('R2023'!F321+'R2022'!F321+'R2021'!F321)/3</f>
        <v>0</v>
      </c>
      <c r="G321" s="84">
        <f>('R2023'!G321+'R2022'!G321+'R2021'!G321)/3</f>
        <v>0</v>
      </c>
      <c r="H321" s="84">
        <f>('R2023'!H321+'R2022'!H321+'R2021'!H321)/3</f>
        <v>0</v>
      </c>
      <c r="I321" s="84">
        <f>('R2023'!I321+'R2022'!I321+'R2021'!I321)/3</f>
        <v>0</v>
      </c>
      <c r="J321" s="71"/>
      <c r="K321" s="84">
        <f t="shared" si="12"/>
        <v>0</v>
      </c>
      <c r="L321" s="67">
        <f t="shared" si="13"/>
        <v>0</v>
      </c>
    </row>
    <row r="322" spans="1:12" hidden="1" outlineLevel="1" x14ac:dyDescent="0.35">
      <c r="A322" s="37" t="s">
        <v>553</v>
      </c>
      <c r="B322" s="62" t="s">
        <v>554</v>
      </c>
      <c r="C322" s="54" t="s">
        <v>920</v>
      </c>
      <c r="D322" s="84">
        <f>('R2023'!D322+'R2022'!D322+'R2021'!D322)/3</f>
        <v>0</v>
      </c>
      <c r="E322" s="84">
        <f>('R2023'!E322+'R2022'!E322+'R2021'!E322)/3</f>
        <v>0</v>
      </c>
      <c r="F322" s="84">
        <f>('R2023'!F322+'R2022'!F322+'R2021'!F322)/3</f>
        <v>0</v>
      </c>
      <c r="G322" s="84">
        <f>('R2023'!G322+'R2022'!G322+'R2021'!G322)/3</f>
        <v>0</v>
      </c>
      <c r="H322" s="84">
        <f>('R2023'!H322+'R2022'!H322+'R2021'!H322)/3</f>
        <v>0</v>
      </c>
      <c r="I322" s="84">
        <f>('R2023'!I322+'R2022'!I322+'R2021'!I322)/3</f>
        <v>0</v>
      </c>
      <c r="J322" s="71"/>
      <c r="K322" s="84">
        <f t="shared" si="12"/>
        <v>0</v>
      </c>
      <c r="L322" s="67">
        <f t="shared" si="13"/>
        <v>0</v>
      </c>
    </row>
    <row r="323" spans="1:12" hidden="1" outlineLevel="1" x14ac:dyDescent="0.35">
      <c r="A323" s="37" t="s">
        <v>555</v>
      </c>
      <c r="B323" s="62" t="s">
        <v>556</v>
      </c>
      <c r="C323" s="54" t="s">
        <v>920</v>
      </c>
      <c r="D323" s="84">
        <f>('R2023'!D323+'R2022'!D323+'R2021'!D323)/3</f>
        <v>0</v>
      </c>
      <c r="E323" s="84">
        <f>('R2023'!E323+'R2022'!E323+'R2021'!E323)/3</f>
        <v>0</v>
      </c>
      <c r="F323" s="84">
        <f>('R2023'!F323+'R2022'!F323+'R2021'!F323)/3</f>
        <v>0</v>
      </c>
      <c r="G323" s="84">
        <f>('R2023'!G323+'R2022'!G323+'R2021'!G323)/3</f>
        <v>0</v>
      </c>
      <c r="H323" s="84">
        <f>('R2023'!H323+'R2022'!H323+'R2021'!H323)/3</f>
        <v>0</v>
      </c>
      <c r="I323" s="84">
        <f>('R2023'!I323+'R2022'!I323+'R2021'!I323)/3</f>
        <v>0</v>
      </c>
      <c r="J323" s="71"/>
      <c r="K323" s="84">
        <f t="shared" si="12"/>
        <v>0</v>
      </c>
      <c r="L323" s="67">
        <f t="shared" si="13"/>
        <v>0</v>
      </c>
    </row>
    <row r="324" spans="1:12" hidden="1" outlineLevel="1" x14ac:dyDescent="0.35">
      <c r="A324" s="37" t="s">
        <v>557</v>
      </c>
      <c r="B324" s="62" t="s">
        <v>558</v>
      </c>
      <c r="C324" s="54" t="s">
        <v>920</v>
      </c>
      <c r="D324" s="84">
        <f>('R2023'!D324+'R2022'!D324+'R2021'!D324)/3</f>
        <v>0</v>
      </c>
      <c r="E324" s="84">
        <f>('R2023'!E324+'R2022'!E324+'R2021'!E324)/3</f>
        <v>0</v>
      </c>
      <c r="F324" s="84">
        <f>('R2023'!F324+'R2022'!F324+'R2021'!F324)/3</f>
        <v>0</v>
      </c>
      <c r="G324" s="84">
        <f>('R2023'!G324+'R2022'!G324+'R2021'!G324)/3</f>
        <v>0</v>
      </c>
      <c r="H324" s="84">
        <f>('R2023'!H324+'R2022'!H324+'R2021'!H324)/3</f>
        <v>0</v>
      </c>
      <c r="I324" s="84">
        <f>('R2023'!I324+'R2022'!I324+'R2021'!I324)/3</f>
        <v>0</v>
      </c>
      <c r="J324" s="71"/>
      <c r="K324" s="84">
        <f t="shared" si="12"/>
        <v>0</v>
      </c>
      <c r="L324" s="67">
        <f t="shared" si="13"/>
        <v>0</v>
      </c>
    </row>
    <row r="325" spans="1:12" hidden="1" outlineLevel="1" x14ac:dyDescent="0.35">
      <c r="A325" s="37" t="s">
        <v>559</v>
      </c>
      <c r="B325" s="62" t="s">
        <v>560</v>
      </c>
      <c r="C325" s="54" t="s">
        <v>920</v>
      </c>
      <c r="D325" s="84">
        <f>('R2023'!D325+'R2022'!D325+'R2021'!D325)/3</f>
        <v>0</v>
      </c>
      <c r="E325" s="84">
        <f>('R2023'!E325+'R2022'!E325+'R2021'!E325)/3</f>
        <v>0</v>
      </c>
      <c r="F325" s="84">
        <f>('R2023'!F325+'R2022'!F325+'R2021'!F325)/3</f>
        <v>0</v>
      </c>
      <c r="G325" s="84">
        <f>('R2023'!G325+'R2022'!G325+'R2021'!G325)/3</f>
        <v>0</v>
      </c>
      <c r="H325" s="84">
        <f>('R2023'!H325+'R2022'!H325+'R2021'!H325)/3</f>
        <v>0</v>
      </c>
      <c r="I325" s="84">
        <f>('R2023'!I325+'R2022'!I325+'R2021'!I325)/3</f>
        <v>0</v>
      </c>
      <c r="J325" s="71"/>
      <c r="K325" s="84">
        <f t="shared" si="12"/>
        <v>0</v>
      </c>
      <c r="L325" s="67">
        <f t="shared" si="13"/>
        <v>0</v>
      </c>
    </row>
    <row r="326" spans="1:12" hidden="1" outlineLevel="1" x14ac:dyDescent="0.35">
      <c r="A326" s="37" t="s">
        <v>561</v>
      </c>
      <c r="B326" s="62" t="s">
        <v>562</v>
      </c>
      <c r="C326" s="54" t="s">
        <v>920</v>
      </c>
      <c r="D326" s="84">
        <f>('R2023'!D326+'R2022'!D326+'R2021'!D326)/3</f>
        <v>0</v>
      </c>
      <c r="E326" s="84">
        <f>('R2023'!E326+'R2022'!E326+'R2021'!E326)/3</f>
        <v>0</v>
      </c>
      <c r="F326" s="84">
        <f>('R2023'!F326+'R2022'!F326+'R2021'!F326)/3</f>
        <v>0</v>
      </c>
      <c r="G326" s="84">
        <f>('R2023'!G326+'R2022'!G326+'R2021'!G326)/3</f>
        <v>0</v>
      </c>
      <c r="H326" s="84">
        <f>('R2023'!H326+'R2022'!H326+'R2021'!H326)/3</f>
        <v>0</v>
      </c>
      <c r="I326" s="84">
        <f>('R2023'!I326+'R2022'!I326+'R2021'!I326)/3</f>
        <v>0</v>
      </c>
      <c r="J326" s="71"/>
      <c r="K326" s="84">
        <f t="shared" si="12"/>
        <v>0</v>
      </c>
      <c r="L326" s="67">
        <f t="shared" si="13"/>
        <v>0</v>
      </c>
    </row>
    <row r="327" spans="1:12" hidden="1" outlineLevel="1" x14ac:dyDescent="0.35">
      <c r="A327" s="37" t="s">
        <v>563</v>
      </c>
      <c r="B327" s="62" t="s">
        <v>564</v>
      </c>
      <c r="C327" s="54" t="s">
        <v>920</v>
      </c>
      <c r="D327" s="84">
        <f>('R2023'!D327+'R2022'!D327+'R2021'!D327)/3</f>
        <v>0</v>
      </c>
      <c r="E327" s="84">
        <f>('R2023'!E327+'R2022'!E327+'R2021'!E327)/3</f>
        <v>0</v>
      </c>
      <c r="F327" s="84">
        <f>('R2023'!F327+'R2022'!F327+'R2021'!F327)/3</f>
        <v>0</v>
      </c>
      <c r="G327" s="84">
        <f>('R2023'!G327+'R2022'!G327+'R2021'!G327)/3</f>
        <v>0</v>
      </c>
      <c r="H327" s="84">
        <f>('R2023'!H327+'R2022'!H327+'R2021'!H327)/3</f>
        <v>0</v>
      </c>
      <c r="I327" s="84">
        <f>('R2023'!I327+'R2022'!I327+'R2021'!I327)/3</f>
        <v>0</v>
      </c>
      <c r="J327" s="71"/>
      <c r="K327" s="84">
        <f t="shared" si="12"/>
        <v>0</v>
      </c>
      <c r="L327" s="67">
        <f t="shared" si="13"/>
        <v>0</v>
      </c>
    </row>
    <row r="328" spans="1:12" hidden="1" outlineLevel="1" x14ac:dyDescent="0.35">
      <c r="A328" s="37" t="s">
        <v>565</v>
      </c>
      <c r="B328" s="62" t="s">
        <v>566</v>
      </c>
      <c r="C328" s="54" t="s">
        <v>920</v>
      </c>
      <c r="D328" s="84">
        <f>('R2023'!D328+'R2022'!D328+'R2021'!D328)/3</f>
        <v>0</v>
      </c>
      <c r="E328" s="84">
        <f>('R2023'!E328+'R2022'!E328+'R2021'!E328)/3</f>
        <v>0</v>
      </c>
      <c r="F328" s="84">
        <f>('R2023'!F328+'R2022'!F328+'R2021'!F328)/3</f>
        <v>0</v>
      </c>
      <c r="G328" s="84">
        <f>('R2023'!G328+'R2022'!G328+'R2021'!G328)/3</f>
        <v>0</v>
      </c>
      <c r="H328" s="84">
        <f>('R2023'!H328+'R2022'!H328+'R2021'!H328)/3</f>
        <v>0</v>
      </c>
      <c r="I328" s="84">
        <f>('R2023'!I328+'R2022'!I328+'R2021'!I328)/3</f>
        <v>0</v>
      </c>
      <c r="J328" s="71"/>
      <c r="K328" s="84">
        <f t="shared" si="12"/>
        <v>0</v>
      </c>
      <c r="L328" s="67">
        <f t="shared" si="13"/>
        <v>0</v>
      </c>
    </row>
    <row r="329" spans="1:12" hidden="1" outlineLevel="1" x14ac:dyDescent="0.35">
      <c r="A329" s="37" t="s">
        <v>567</v>
      </c>
      <c r="B329" s="62" t="s">
        <v>923</v>
      </c>
      <c r="C329" s="54" t="s">
        <v>920</v>
      </c>
      <c r="D329" s="84">
        <f>('R2023'!D329+'R2022'!D329+'R2021'!D329)/3</f>
        <v>0</v>
      </c>
      <c r="E329" s="84">
        <f>('R2023'!E329+'R2022'!E329+'R2021'!E329)/3</f>
        <v>0</v>
      </c>
      <c r="F329" s="84">
        <f>('R2023'!F329+'R2022'!F329+'R2021'!F329)/3</f>
        <v>0</v>
      </c>
      <c r="G329" s="84">
        <f>('R2023'!G329+'R2022'!G329+'R2021'!G329)/3</f>
        <v>0</v>
      </c>
      <c r="H329" s="84">
        <f>('R2023'!H329+'R2022'!H329+'R2021'!H329)/3</f>
        <v>0</v>
      </c>
      <c r="I329" s="84">
        <f>('R2023'!I329+'R2022'!I329+'R2021'!I329)/3</f>
        <v>0</v>
      </c>
      <c r="J329" s="71"/>
      <c r="K329" s="84">
        <f t="shared" si="12"/>
        <v>0</v>
      </c>
      <c r="L329" s="67">
        <f t="shared" si="13"/>
        <v>0</v>
      </c>
    </row>
    <row r="330" spans="1:12" hidden="1" outlineLevel="1" x14ac:dyDescent="0.35">
      <c r="A330" s="37" t="s">
        <v>568</v>
      </c>
      <c r="B330" s="62" t="s">
        <v>569</v>
      </c>
      <c r="C330" s="54" t="s">
        <v>920</v>
      </c>
      <c r="D330" s="84">
        <f>('R2023'!D330+'R2022'!D330+'R2021'!D330)/3</f>
        <v>0</v>
      </c>
      <c r="E330" s="84">
        <f>('R2023'!E330+'R2022'!E330+'R2021'!E330)/3</f>
        <v>0</v>
      </c>
      <c r="F330" s="84">
        <f>('R2023'!F330+'R2022'!F330+'R2021'!F330)/3</f>
        <v>0</v>
      </c>
      <c r="G330" s="84">
        <f>('R2023'!G330+'R2022'!G330+'R2021'!G330)/3</f>
        <v>0</v>
      </c>
      <c r="H330" s="84">
        <f>('R2023'!H330+'R2022'!H330+'R2021'!H330)/3</f>
        <v>0</v>
      </c>
      <c r="I330" s="84">
        <f>('R2023'!I330+'R2022'!I330+'R2021'!I330)/3</f>
        <v>0</v>
      </c>
      <c r="J330" s="71"/>
      <c r="K330" s="84">
        <f t="shared" si="12"/>
        <v>0</v>
      </c>
      <c r="L330" s="67">
        <f t="shared" si="13"/>
        <v>0</v>
      </c>
    </row>
    <row r="331" spans="1:12" hidden="1" outlineLevel="1" x14ac:dyDescent="0.35">
      <c r="A331" s="37" t="s">
        <v>570</v>
      </c>
      <c r="B331" s="62" t="s">
        <v>571</v>
      </c>
      <c r="C331" s="54" t="s">
        <v>920</v>
      </c>
      <c r="D331" s="84">
        <f>('R2023'!D331+'R2022'!D331+'R2021'!D331)/3</f>
        <v>0</v>
      </c>
      <c r="E331" s="84">
        <f>('R2023'!E331+'R2022'!E331+'R2021'!E331)/3</f>
        <v>0</v>
      </c>
      <c r="F331" s="84">
        <f>('R2023'!F331+'R2022'!F331+'R2021'!F331)/3</f>
        <v>0</v>
      </c>
      <c r="G331" s="84">
        <f>('R2023'!G331+'R2022'!G331+'R2021'!G331)/3</f>
        <v>0</v>
      </c>
      <c r="H331" s="84">
        <f>('R2023'!H331+'R2022'!H331+'R2021'!H331)/3</f>
        <v>0</v>
      </c>
      <c r="I331" s="84">
        <f>('R2023'!I331+'R2022'!I331+'R2021'!I331)/3</f>
        <v>0</v>
      </c>
      <c r="J331" s="71"/>
      <c r="K331" s="84">
        <f t="shared" ref="K331:K394" si="14">J331+I331</f>
        <v>0</v>
      </c>
      <c r="L331" s="67">
        <f t="shared" ref="L331:L394" si="15">K331+D331+E331+F331+G331+H331</f>
        <v>0</v>
      </c>
    </row>
    <row r="332" spans="1:12" hidden="1" outlineLevel="1" x14ac:dyDescent="0.35">
      <c r="A332" s="37" t="s">
        <v>572</v>
      </c>
      <c r="B332" s="62" t="s">
        <v>573</v>
      </c>
      <c r="C332" s="54" t="s">
        <v>920</v>
      </c>
      <c r="D332" s="84">
        <f>('R2023'!D332+'R2022'!D332+'R2021'!D332)/3</f>
        <v>0</v>
      </c>
      <c r="E332" s="84">
        <f>('R2023'!E332+'R2022'!E332+'R2021'!E332)/3</f>
        <v>0</v>
      </c>
      <c r="F332" s="84">
        <f>('R2023'!F332+'R2022'!F332+'R2021'!F332)/3</f>
        <v>0</v>
      </c>
      <c r="G332" s="84">
        <f>('R2023'!G332+'R2022'!G332+'R2021'!G332)/3</f>
        <v>0</v>
      </c>
      <c r="H332" s="84">
        <f>('R2023'!H332+'R2022'!H332+'R2021'!H332)/3</f>
        <v>0</v>
      </c>
      <c r="I332" s="84">
        <f>('R2023'!I332+'R2022'!I332+'R2021'!I332)/3</f>
        <v>0</v>
      </c>
      <c r="J332" s="71"/>
      <c r="K332" s="84">
        <f t="shared" si="14"/>
        <v>0</v>
      </c>
      <c r="L332" s="67">
        <f t="shared" si="15"/>
        <v>0</v>
      </c>
    </row>
    <row r="333" spans="1:12" hidden="1" outlineLevel="1" x14ac:dyDescent="0.35">
      <c r="A333" s="37" t="s">
        <v>574</v>
      </c>
      <c r="B333" s="62" t="s">
        <v>575</v>
      </c>
      <c r="C333" s="54" t="s">
        <v>920</v>
      </c>
      <c r="D333" s="84">
        <f>('R2023'!D333+'R2022'!D333+'R2021'!D333)/3</f>
        <v>0</v>
      </c>
      <c r="E333" s="84">
        <f>('R2023'!E333+'R2022'!E333+'R2021'!E333)/3</f>
        <v>0</v>
      </c>
      <c r="F333" s="84">
        <f>('R2023'!F333+'R2022'!F333+'R2021'!F333)/3</f>
        <v>0</v>
      </c>
      <c r="G333" s="84">
        <f>('R2023'!G333+'R2022'!G333+'R2021'!G333)/3</f>
        <v>0</v>
      </c>
      <c r="H333" s="84">
        <f>('R2023'!H333+'R2022'!H333+'R2021'!H333)/3</f>
        <v>0</v>
      </c>
      <c r="I333" s="84">
        <f>('R2023'!I333+'R2022'!I333+'R2021'!I333)/3</f>
        <v>0</v>
      </c>
      <c r="J333" s="71"/>
      <c r="K333" s="84">
        <f t="shared" si="14"/>
        <v>0</v>
      </c>
      <c r="L333" s="67">
        <f t="shared" si="15"/>
        <v>0</v>
      </c>
    </row>
    <row r="334" spans="1:12" hidden="1" outlineLevel="1" x14ac:dyDescent="0.35">
      <c r="A334" s="37" t="s">
        <v>576</v>
      </c>
      <c r="B334" s="62" t="s">
        <v>577</v>
      </c>
      <c r="C334" s="54" t="s">
        <v>920</v>
      </c>
      <c r="D334" s="84">
        <f>('R2023'!D334+'R2022'!D334+'R2021'!D334)/3</f>
        <v>0</v>
      </c>
      <c r="E334" s="84">
        <f>('R2023'!E334+'R2022'!E334+'R2021'!E334)/3</f>
        <v>0</v>
      </c>
      <c r="F334" s="84">
        <f>('R2023'!F334+'R2022'!F334+'R2021'!F334)/3</f>
        <v>0</v>
      </c>
      <c r="G334" s="84">
        <f>('R2023'!G334+'R2022'!G334+'R2021'!G334)/3</f>
        <v>15620</v>
      </c>
      <c r="H334" s="84">
        <f>('R2023'!H334+'R2022'!H334+'R2021'!H334)/3</f>
        <v>-54235</v>
      </c>
      <c r="I334" s="84">
        <f>('R2023'!I334+'R2022'!I334+'R2021'!I334)/3</f>
        <v>0</v>
      </c>
      <c r="J334" s="71"/>
      <c r="K334" s="84">
        <f t="shared" si="14"/>
        <v>0</v>
      </c>
      <c r="L334" s="67">
        <f t="shared" si="15"/>
        <v>-38615</v>
      </c>
    </row>
    <row r="335" spans="1:12" hidden="1" outlineLevel="1" x14ac:dyDescent="0.35">
      <c r="A335" s="37" t="s">
        <v>578</v>
      </c>
      <c r="B335" s="62" t="s">
        <v>579</v>
      </c>
      <c r="C335" s="54" t="s">
        <v>920</v>
      </c>
      <c r="D335" s="84">
        <f>('R2023'!D335+'R2022'!D335+'R2021'!D335)/3</f>
        <v>0</v>
      </c>
      <c r="E335" s="84">
        <f>('R2023'!E335+'R2022'!E335+'R2021'!E335)/3</f>
        <v>9795.3333333333339</v>
      </c>
      <c r="F335" s="84">
        <f>('R2023'!F335+'R2022'!F335+'R2021'!F335)/3</f>
        <v>0</v>
      </c>
      <c r="G335" s="84">
        <f>('R2023'!G335+'R2022'!G335+'R2021'!G335)/3</f>
        <v>0</v>
      </c>
      <c r="H335" s="84">
        <f>('R2023'!H335+'R2022'!H335+'R2021'!H335)/3</f>
        <v>0</v>
      </c>
      <c r="I335" s="84">
        <f>('R2023'!I335+'R2022'!I335+'R2021'!I335)/3</f>
        <v>0</v>
      </c>
      <c r="J335" s="71"/>
      <c r="K335" s="84">
        <f t="shared" si="14"/>
        <v>0</v>
      </c>
      <c r="L335" s="67">
        <f t="shared" si="15"/>
        <v>9795.3333333333339</v>
      </c>
    </row>
    <row r="336" spans="1:12" hidden="1" outlineLevel="1" x14ac:dyDescent="0.35">
      <c r="A336" s="37" t="s">
        <v>580</v>
      </c>
      <c r="B336" s="62" t="s">
        <v>581</v>
      </c>
      <c r="C336" s="54" t="s">
        <v>920</v>
      </c>
      <c r="D336" s="84">
        <f>('R2023'!D336+'R2022'!D336+'R2021'!D336)/3</f>
        <v>0</v>
      </c>
      <c r="E336" s="84">
        <f>('R2023'!E336+'R2022'!E336+'R2021'!E336)/3</f>
        <v>0</v>
      </c>
      <c r="F336" s="84">
        <f>('R2023'!F336+'R2022'!F336+'R2021'!F336)/3</f>
        <v>0</v>
      </c>
      <c r="G336" s="84">
        <f>('R2023'!G336+'R2022'!G336+'R2021'!G336)/3</f>
        <v>0</v>
      </c>
      <c r="H336" s="84">
        <f>('R2023'!H336+'R2022'!H336+'R2021'!H336)/3</f>
        <v>0</v>
      </c>
      <c r="I336" s="84">
        <f>('R2023'!I336+'R2022'!I336+'R2021'!I336)/3</f>
        <v>0</v>
      </c>
      <c r="J336" s="71"/>
      <c r="K336" s="84">
        <f t="shared" si="14"/>
        <v>0</v>
      </c>
      <c r="L336" s="67">
        <f t="shared" si="15"/>
        <v>0</v>
      </c>
    </row>
    <row r="337" spans="1:12" hidden="1" outlineLevel="1" x14ac:dyDescent="0.35">
      <c r="A337" s="37" t="s">
        <v>582</v>
      </c>
      <c r="B337" s="62" t="s">
        <v>583</v>
      </c>
      <c r="C337" s="54" t="s">
        <v>920</v>
      </c>
      <c r="D337" s="84">
        <f>('R2023'!D337+'R2022'!D337+'R2021'!D337)/3</f>
        <v>0</v>
      </c>
      <c r="E337" s="84">
        <f>('R2023'!E337+'R2022'!E337+'R2021'!E337)/3</f>
        <v>0</v>
      </c>
      <c r="F337" s="84">
        <f>('R2023'!F337+'R2022'!F337+'R2021'!F337)/3</f>
        <v>0</v>
      </c>
      <c r="G337" s="84">
        <f>('R2023'!G337+'R2022'!G337+'R2021'!G337)/3</f>
        <v>0</v>
      </c>
      <c r="H337" s="84">
        <f>('R2023'!H337+'R2022'!H337+'R2021'!H337)/3</f>
        <v>0</v>
      </c>
      <c r="I337" s="84">
        <f>('R2023'!I337+'R2022'!I337+'R2021'!I337)/3</f>
        <v>0</v>
      </c>
      <c r="J337" s="71"/>
      <c r="K337" s="84">
        <f t="shared" si="14"/>
        <v>0</v>
      </c>
      <c r="L337" s="67">
        <f t="shared" si="15"/>
        <v>0</v>
      </c>
    </row>
    <row r="338" spans="1:12" x14ac:dyDescent="0.35">
      <c r="A338" s="37"/>
      <c r="B338" s="72" t="s">
        <v>1286</v>
      </c>
      <c r="C338" s="53"/>
      <c r="D338" s="154">
        <f>('R2023'!D338+'R2022'!D338+'R2021'!D338)/3</f>
        <v>1354967.7618175987</v>
      </c>
      <c r="E338" s="154">
        <f>('R2023'!E338+'R2022'!E338+'R2021'!E338)/3</f>
        <v>835572.28924458998</v>
      </c>
      <c r="F338" s="154">
        <f>('R2023'!F338+'R2022'!F338+'R2021'!F338)/3</f>
        <v>2554800.9965249295</v>
      </c>
      <c r="G338" s="154">
        <f>('R2023'!G338+'R2022'!G338+'R2021'!G338)/3</f>
        <v>3091836.6570699699</v>
      </c>
      <c r="H338" s="154">
        <f>('R2023'!H338+'R2022'!H338+'R2021'!H338)/3</f>
        <v>2774468.2953429134</v>
      </c>
      <c r="I338" s="154">
        <f>('R2023'!I338+'R2022'!I338+'R2021'!I338)/3</f>
        <v>955722.33333333337</v>
      </c>
      <c r="J338" s="154"/>
      <c r="K338" s="154">
        <f>('R2023'!K338+'R2022'!K338+'R2021'!K338)/3</f>
        <v>5063045.333333333</v>
      </c>
      <c r="L338" s="111">
        <f t="shared" si="15"/>
        <v>15674691.333333334</v>
      </c>
    </row>
    <row r="339" spans="1:12" collapsed="1" x14ac:dyDescent="0.35">
      <c r="A339" s="37"/>
      <c r="B339" s="62" t="s">
        <v>925</v>
      </c>
      <c r="C339" s="54"/>
      <c r="D339" s="84">
        <f>('R2023'!D339+'R2022'!D339+'R2021'!D339)/3</f>
        <v>0</v>
      </c>
      <c r="E339" s="84">
        <f>('R2023'!E339+'R2022'!E339+'R2021'!E339)/3</f>
        <v>80240</v>
      </c>
      <c r="F339" s="84">
        <f>('R2023'!F339+'R2022'!F339+'R2021'!F339)/3</f>
        <v>24803.333333333332</v>
      </c>
      <c r="G339" s="84">
        <f>('R2023'!G339+'R2022'!G339+'R2021'!G339)/3</f>
        <v>9235.3333333333339</v>
      </c>
      <c r="H339" s="84">
        <f>('R2023'!H339+'R2022'!H339+'R2021'!H339)/3</f>
        <v>0</v>
      </c>
      <c r="I339" s="84">
        <f>('R2023'!I339+'R2022'!I339+'R2021'!I339)/3</f>
        <v>736277</v>
      </c>
      <c r="J339" s="71">
        <f>('R2021'!J341+'R2022'!J341+'R2023'!J341)/3</f>
        <v>3667058</v>
      </c>
      <c r="K339" s="84">
        <f>J339+I339</f>
        <v>4403335</v>
      </c>
      <c r="L339" s="67">
        <f t="shared" si="15"/>
        <v>4517613.666666666</v>
      </c>
    </row>
    <row r="340" spans="1:12" hidden="1" outlineLevel="1" x14ac:dyDescent="0.35">
      <c r="A340" s="37" t="s">
        <v>584</v>
      </c>
      <c r="B340" s="62" t="s">
        <v>585</v>
      </c>
      <c r="C340" s="54" t="s">
        <v>925</v>
      </c>
      <c r="D340" s="84">
        <f>('R2023'!D340+'R2022'!D340+'R2021'!D340)/3</f>
        <v>0</v>
      </c>
      <c r="E340" s="84">
        <f>('R2023'!E340+'R2022'!E340+'R2021'!E340)/3</f>
        <v>0</v>
      </c>
      <c r="F340" s="84">
        <f>('R2023'!F340+'R2022'!F340+'R2021'!F340)/3</f>
        <v>1287142.3333333333</v>
      </c>
      <c r="G340" s="84">
        <f>('R2023'!G340+'R2022'!G340+'R2021'!G340)/3</f>
        <v>815288.66666666663</v>
      </c>
      <c r="H340" s="84">
        <f>('R2023'!H340+'R2022'!H340+'R2021'!H340)/3</f>
        <v>765764.33333333337</v>
      </c>
      <c r="I340" s="84">
        <f>('R2023'!I340+'R2022'!I340+'R2021'!I340)/3</f>
        <v>404093.66666666669</v>
      </c>
      <c r="J340" s="71">
        <f>J341</f>
        <v>3667058</v>
      </c>
      <c r="K340" s="84">
        <f t="shared" si="14"/>
        <v>4071151.6666666665</v>
      </c>
      <c r="L340" s="67">
        <f t="shared" si="15"/>
        <v>6939347</v>
      </c>
    </row>
    <row r="341" spans="1:12" hidden="1" outlineLevel="1" x14ac:dyDescent="0.35">
      <c r="A341" s="37"/>
      <c r="B341" s="117" t="s">
        <v>1305</v>
      </c>
      <c r="C341" s="118"/>
      <c r="D341" s="84">
        <f>('R2023'!D341+'R2022'!D341+'R2021'!D341)/3</f>
        <v>0</v>
      </c>
      <c r="E341" s="84">
        <f>('R2023'!E341+'R2022'!E341+'R2021'!E341)/3</f>
        <v>0</v>
      </c>
      <c r="F341" s="84">
        <f>('R2023'!F341+'R2022'!F341+'R2021'!F341)/3</f>
        <v>-1557376.3333333333</v>
      </c>
      <c r="G341" s="84">
        <f>('R2023'!G341+'R2022'!G341+'R2021'!G341)/3</f>
        <v>-1111511.3333333333</v>
      </c>
      <c r="H341" s="84">
        <f>('R2023'!H341+'R2022'!H341+'R2021'!H341)/3</f>
        <v>-998170.33333333337</v>
      </c>
      <c r="I341" s="84">
        <f>('R2023'!I341+'R2022'!I341+'R2021'!I341)/3</f>
        <v>0</v>
      </c>
      <c r="J341" s="128">
        <f>-H341-G341-F341-E341-D341</f>
        <v>3667058</v>
      </c>
      <c r="K341" s="133">
        <f>+J341+I341</f>
        <v>3667058</v>
      </c>
      <c r="L341" s="129">
        <f>+K341+H341+G341+F341+E341+D341</f>
        <v>0</v>
      </c>
    </row>
    <row r="342" spans="1:12" hidden="1" outlineLevel="1" x14ac:dyDescent="0.35">
      <c r="A342" s="37" t="s">
        <v>586</v>
      </c>
      <c r="B342" s="62" t="s">
        <v>587</v>
      </c>
      <c r="C342" s="54" t="s">
        <v>925</v>
      </c>
      <c r="D342" s="84">
        <f>('R2023'!D342+'R2022'!D342+'R2021'!D342)/3</f>
        <v>0</v>
      </c>
      <c r="E342" s="84">
        <f>('R2023'!E342+'R2022'!E342+'R2021'!E342)/3</f>
        <v>0</v>
      </c>
      <c r="F342" s="84">
        <f>('R2023'!F342+'R2022'!F342+'R2021'!F342)/3</f>
        <v>0</v>
      </c>
      <c r="G342" s="84">
        <f>('R2023'!G342+'R2022'!G342+'R2021'!G342)/3</f>
        <v>4333.333333333333</v>
      </c>
      <c r="H342" s="84">
        <f>('R2023'!H342+'R2022'!H342+'R2021'!H342)/3</f>
        <v>0</v>
      </c>
      <c r="I342" s="84">
        <f>('R2023'!I342+'R2022'!I342+'R2021'!I342)/3</f>
        <v>0</v>
      </c>
      <c r="J342" s="71"/>
      <c r="K342" s="84">
        <f t="shared" si="14"/>
        <v>0</v>
      </c>
      <c r="L342" s="67">
        <f t="shared" si="15"/>
        <v>4333.333333333333</v>
      </c>
    </row>
    <row r="343" spans="1:12" hidden="1" outlineLevel="1" x14ac:dyDescent="0.35">
      <c r="A343" s="37" t="s">
        <v>588</v>
      </c>
      <c r="B343" s="62" t="s">
        <v>589</v>
      </c>
      <c r="C343" s="54" t="s">
        <v>925</v>
      </c>
      <c r="D343" s="84">
        <f>('R2023'!D343+'R2022'!D343+'R2021'!D343)/3</f>
        <v>0</v>
      </c>
      <c r="E343" s="84">
        <f>('R2023'!E343+'R2022'!E343+'R2021'!E343)/3</f>
        <v>0</v>
      </c>
      <c r="F343" s="84">
        <f>('R2023'!F343+'R2022'!F343+'R2021'!F343)/3</f>
        <v>24803.333333333332</v>
      </c>
      <c r="G343" s="84">
        <f>('R2023'!G343+'R2022'!G343+'R2021'!G343)/3</f>
        <v>2750</v>
      </c>
      <c r="H343" s="84">
        <f>('R2023'!H343+'R2022'!H343+'R2021'!H343)/3</f>
        <v>0</v>
      </c>
      <c r="I343" s="84">
        <f>('R2023'!I343+'R2022'!I343+'R2021'!I343)/3</f>
        <v>183708</v>
      </c>
      <c r="J343" s="71"/>
      <c r="K343" s="84">
        <f t="shared" si="14"/>
        <v>183708</v>
      </c>
      <c r="L343" s="67">
        <f t="shared" si="15"/>
        <v>211261.33333333334</v>
      </c>
    </row>
    <row r="344" spans="1:12" hidden="1" outlineLevel="1" x14ac:dyDescent="0.35">
      <c r="A344" s="37" t="s">
        <v>590</v>
      </c>
      <c r="B344" s="62" t="s">
        <v>591</v>
      </c>
      <c r="C344" s="54" t="s">
        <v>925</v>
      </c>
      <c r="D344" s="84">
        <f>('R2023'!D344+'R2022'!D344+'R2021'!D344)/3</f>
        <v>0</v>
      </c>
      <c r="E344" s="84">
        <f>('R2023'!E344+'R2022'!E344+'R2021'!E344)/3</f>
        <v>0</v>
      </c>
      <c r="F344" s="84">
        <f>('R2023'!F344+'R2022'!F344+'R2021'!F344)/3</f>
        <v>0</v>
      </c>
      <c r="G344" s="84">
        <f>('R2023'!G344+'R2022'!G344+'R2021'!G344)/3</f>
        <v>0</v>
      </c>
      <c r="H344" s="84">
        <f>('R2023'!H344+'R2022'!H344+'R2021'!H344)/3</f>
        <v>0</v>
      </c>
      <c r="I344" s="84">
        <f>('R2023'!I344+'R2022'!I344+'R2021'!I344)/3</f>
        <v>0</v>
      </c>
      <c r="J344" s="71"/>
      <c r="K344" s="84">
        <f t="shared" si="14"/>
        <v>0</v>
      </c>
      <c r="L344" s="67">
        <f t="shared" si="15"/>
        <v>0</v>
      </c>
    </row>
    <row r="345" spans="1:12" hidden="1" outlineLevel="1" x14ac:dyDescent="0.35">
      <c r="A345" s="37" t="s">
        <v>592</v>
      </c>
      <c r="B345" s="62" t="s">
        <v>593</v>
      </c>
      <c r="C345" s="54" t="s">
        <v>925</v>
      </c>
      <c r="D345" s="84">
        <f>('R2023'!D345+'R2022'!D345+'R2021'!D345)/3</f>
        <v>0</v>
      </c>
      <c r="E345" s="84">
        <f>('R2023'!E345+'R2022'!E345+'R2021'!E345)/3</f>
        <v>0</v>
      </c>
      <c r="F345" s="84">
        <f>('R2023'!F345+'R2022'!F345+'R2021'!F345)/3</f>
        <v>0</v>
      </c>
      <c r="G345" s="84">
        <f>('R2023'!G345+'R2022'!G345+'R2021'!G345)/3</f>
        <v>-6926.333333333333</v>
      </c>
      <c r="H345" s="84">
        <f>('R2023'!H345+'R2022'!H345+'R2021'!H345)/3</f>
        <v>94911.666666666672</v>
      </c>
      <c r="I345" s="84">
        <f>('R2023'!I345+'R2022'!I345+'R2021'!I345)/3</f>
        <v>0</v>
      </c>
      <c r="J345" s="71"/>
      <c r="K345" s="84">
        <f t="shared" si="14"/>
        <v>0</v>
      </c>
      <c r="L345" s="67">
        <f t="shared" si="15"/>
        <v>87985.333333333343</v>
      </c>
    </row>
    <row r="346" spans="1:12" hidden="1" outlineLevel="1" x14ac:dyDescent="0.35">
      <c r="A346" s="37" t="s">
        <v>594</v>
      </c>
      <c r="B346" s="62" t="s">
        <v>595</v>
      </c>
      <c r="C346" s="54" t="s">
        <v>925</v>
      </c>
      <c r="D346" s="84">
        <f>('R2023'!D346+'R2022'!D346+'R2021'!D346)/3</f>
        <v>0</v>
      </c>
      <c r="E346" s="84">
        <f>('R2023'!E346+'R2022'!E346+'R2021'!E346)/3</f>
        <v>0</v>
      </c>
      <c r="F346" s="84">
        <f>('R2023'!F346+'R2022'!F346+'R2021'!F346)/3</f>
        <v>181542.33333333334</v>
      </c>
      <c r="G346" s="84">
        <f>('R2023'!G346+'R2022'!G346+'R2021'!G346)/3</f>
        <v>97834.333333333328</v>
      </c>
      <c r="H346" s="84">
        <f>('R2023'!H346+'R2022'!H346+'R2021'!H346)/3</f>
        <v>0</v>
      </c>
      <c r="I346" s="84">
        <f>('R2023'!I346+'R2022'!I346+'R2021'!I346)/3</f>
        <v>55096</v>
      </c>
      <c r="J346" s="71"/>
      <c r="K346" s="84">
        <f t="shared" si="14"/>
        <v>55096</v>
      </c>
      <c r="L346" s="67">
        <f t="shared" si="15"/>
        <v>334472.66666666669</v>
      </c>
    </row>
    <row r="347" spans="1:12" hidden="1" outlineLevel="1" x14ac:dyDescent="0.35">
      <c r="A347" s="37" t="s">
        <v>596</v>
      </c>
      <c r="B347" s="62" t="s">
        <v>597</v>
      </c>
      <c r="C347" s="54" t="s">
        <v>925</v>
      </c>
      <c r="D347" s="84">
        <f>('R2023'!D347+'R2022'!D347+'R2021'!D347)/3</f>
        <v>0</v>
      </c>
      <c r="E347" s="84">
        <f>('R2023'!E347+'R2022'!E347+'R2021'!E347)/3</f>
        <v>0</v>
      </c>
      <c r="F347" s="84">
        <f>('R2023'!F347+'R2022'!F347+'R2021'!F347)/3</f>
        <v>0</v>
      </c>
      <c r="G347" s="84">
        <f>('R2023'!G347+'R2022'!G347+'R2021'!G347)/3</f>
        <v>9355</v>
      </c>
      <c r="H347" s="84">
        <f>('R2023'!H347+'R2022'!H347+'R2021'!H347)/3</f>
        <v>0</v>
      </c>
      <c r="I347" s="84">
        <f>('R2023'!I347+'R2022'!I347+'R2021'!I347)/3</f>
        <v>0</v>
      </c>
      <c r="J347" s="71"/>
      <c r="K347" s="84">
        <f t="shared" si="14"/>
        <v>0</v>
      </c>
      <c r="L347" s="67">
        <f t="shared" si="15"/>
        <v>9355</v>
      </c>
    </row>
    <row r="348" spans="1:12" hidden="1" outlineLevel="1" x14ac:dyDescent="0.35">
      <c r="A348" s="37" t="s">
        <v>598</v>
      </c>
      <c r="B348" s="62" t="s">
        <v>599</v>
      </c>
      <c r="C348" s="54" t="s">
        <v>925</v>
      </c>
      <c r="D348" s="84">
        <f>('R2023'!D348+'R2022'!D348+'R2021'!D348)/3</f>
        <v>0</v>
      </c>
      <c r="E348" s="84">
        <f>('R2023'!E348+'R2022'!E348+'R2021'!E348)/3</f>
        <v>0</v>
      </c>
      <c r="F348" s="84">
        <f>('R2023'!F348+'R2022'!F348+'R2021'!F348)/3</f>
        <v>0</v>
      </c>
      <c r="G348" s="84">
        <f>('R2023'!G348+'R2022'!G348+'R2021'!G348)/3</f>
        <v>0</v>
      </c>
      <c r="H348" s="84">
        <f>('R2023'!H348+'R2022'!H348+'R2021'!H348)/3</f>
        <v>0</v>
      </c>
      <c r="I348" s="84">
        <f>('R2023'!I348+'R2022'!I348+'R2021'!I348)/3</f>
        <v>0</v>
      </c>
      <c r="J348" s="71"/>
      <c r="K348" s="84">
        <f t="shared" si="14"/>
        <v>0</v>
      </c>
      <c r="L348" s="67">
        <f t="shared" si="15"/>
        <v>0</v>
      </c>
    </row>
    <row r="349" spans="1:12" hidden="1" outlineLevel="1" x14ac:dyDescent="0.35">
      <c r="A349" s="37" t="s">
        <v>600</v>
      </c>
      <c r="B349" s="62" t="s">
        <v>601</v>
      </c>
      <c r="C349" s="54" t="s">
        <v>925</v>
      </c>
      <c r="D349" s="84">
        <f>('R2023'!D349+'R2022'!D349+'R2021'!D349)/3</f>
        <v>0</v>
      </c>
      <c r="E349" s="84">
        <f>('R2023'!E349+'R2022'!E349+'R2021'!E349)/3</f>
        <v>0</v>
      </c>
      <c r="F349" s="84">
        <f>('R2023'!F349+'R2022'!F349+'R2021'!F349)/3</f>
        <v>0</v>
      </c>
      <c r="G349" s="84">
        <f>('R2023'!G349+'R2022'!G349+'R2021'!G349)/3</f>
        <v>818</v>
      </c>
      <c r="H349" s="84">
        <f>('R2023'!H349+'R2022'!H349+'R2021'!H349)/3</f>
        <v>0</v>
      </c>
      <c r="I349" s="84">
        <f>('R2023'!I349+'R2022'!I349+'R2021'!I349)/3</f>
        <v>0</v>
      </c>
      <c r="J349" s="71"/>
      <c r="K349" s="84">
        <f t="shared" si="14"/>
        <v>0</v>
      </c>
      <c r="L349" s="67">
        <f t="shared" si="15"/>
        <v>818</v>
      </c>
    </row>
    <row r="350" spans="1:12" hidden="1" outlineLevel="1" x14ac:dyDescent="0.35">
      <c r="A350" s="37" t="s">
        <v>602</v>
      </c>
      <c r="B350" s="62" t="s">
        <v>603</v>
      </c>
      <c r="C350" s="54" t="s">
        <v>925</v>
      </c>
      <c r="D350" s="84">
        <f>('R2023'!D350+'R2022'!D350+'R2021'!D350)/3</f>
        <v>0</v>
      </c>
      <c r="E350" s="84">
        <f>('R2023'!E350+'R2022'!E350+'R2021'!E350)/3</f>
        <v>0</v>
      </c>
      <c r="F350" s="84">
        <f>('R2023'!F350+'R2022'!F350+'R2021'!F350)/3</f>
        <v>0</v>
      </c>
      <c r="G350" s="84">
        <f>('R2023'!G350+'R2022'!G350+'R2021'!G350)/3</f>
        <v>0</v>
      </c>
      <c r="H350" s="84">
        <f>('R2023'!H350+'R2022'!H350+'R2021'!H350)/3</f>
        <v>0</v>
      </c>
      <c r="I350" s="84">
        <f>('R2023'!I350+'R2022'!I350+'R2021'!I350)/3</f>
        <v>0</v>
      </c>
      <c r="J350" s="71"/>
      <c r="K350" s="84">
        <f t="shared" si="14"/>
        <v>0</v>
      </c>
      <c r="L350" s="67">
        <f t="shared" si="15"/>
        <v>0</v>
      </c>
    </row>
    <row r="351" spans="1:12" hidden="1" outlineLevel="1" x14ac:dyDescent="0.35">
      <c r="A351" s="37" t="s">
        <v>604</v>
      </c>
      <c r="B351" s="62" t="s">
        <v>605</v>
      </c>
      <c r="C351" s="54" t="s">
        <v>925</v>
      </c>
      <c r="D351" s="84">
        <f>('R2023'!D351+'R2022'!D351+'R2021'!D351)/3</f>
        <v>0</v>
      </c>
      <c r="E351" s="84">
        <f>('R2023'!E351+'R2022'!E351+'R2021'!E351)/3</f>
        <v>0</v>
      </c>
      <c r="F351" s="84">
        <f>('R2023'!F351+'R2022'!F351+'R2021'!F351)/3</f>
        <v>0</v>
      </c>
      <c r="G351" s="84">
        <f>('R2023'!G351+'R2022'!G351+'R2021'!G351)/3</f>
        <v>0</v>
      </c>
      <c r="H351" s="84">
        <f>('R2023'!H351+'R2022'!H351+'R2021'!H351)/3</f>
        <v>0</v>
      </c>
      <c r="I351" s="84">
        <f>('R2023'!I351+'R2022'!I351+'R2021'!I351)/3</f>
        <v>0</v>
      </c>
      <c r="J351" s="71"/>
      <c r="K351" s="84">
        <f t="shared" si="14"/>
        <v>0</v>
      </c>
      <c r="L351" s="67">
        <f t="shared" si="15"/>
        <v>0</v>
      </c>
    </row>
    <row r="352" spans="1:12" hidden="1" outlineLevel="1" x14ac:dyDescent="0.35">
      <c r="A352" s="37" t="s">
        <v>606</v>
      </c>
      <c r="B352" s="62" t="s">
        <v>607</v>
      </c>
      <c r="C352" s="54" t="s">
        <v>925</v>
      </c>
      <c r="D352" s="84">
        <f>('R2023'!D352+'R2022'!D352+'R2021'!D352)/3</f>
        <v>0</v>
      </c>
      <c r="E352" s="84">
        <f>('R2023'!E352+'R2022'!E352+'R2021'!E352)/3</f>
        <v>0</v>
      </c>
      <c r="F352" s="84">
        <f>('R2023'!F352+'R2022'!F352+'R2021'!F352)/3</f>
        <v>0</v>
      </c>
      <c r="G352" s="84">
        <f>('R2023'!G352+'R2022'!G352+'R2021'!G352)/3</f>
        <v>0</v>
      </c>
      <c r="H352" s="84">
        <f>('R2023'!H352+'R2022'!H352+'R2021'!H352)/3</f>
        <v>0</v>
      </c>
      <c r="I352" s="84">
        <f>('R2023'!I352+'R2022'!I352+'R2021'!I352)/3</f>
        <v>0</v>
      </c>
      <c r="J352" s="71"/>
      <c r="K352" s="84">
        <f t="shared" si="14"/>
        <v>0</v>
      </c>
      <c r="L352" s="67">
        <f t="shared" si="15"/>
        <v>0</v>
      </c>
    </row>
    <row r="353" spans="1:12" hidden="1" outlineLevel="1" x14ac:dyDescent="0.35">
      <c r="A353" s="37" t="s">
        <v>608</v>
      </c>
      <c r="B353" s="62" t="s">
        <v>609</v>
      </c>
      <c r="C353" s="54" t="s">
        <v>925</v>
      </c>
      <c r="D353" s="84">
        <f>('R2023'!D353+'R2022'!D353+'R2021'!D353)/3</f>
        <v>0</v>
      </c>
      <c r="E353" s="84">
        <f>('R2023'!E353+'R2022'!E353+'R2021'!E353)/3</f>
        <v>0</v>
      </c>
      <c r="F353" s="84">
        <f>('R2023'!F353+'R2022'!F353+'R2021'!F353)/3</f>
        <v>0</v>
      </c>
      <c r="G353" s="84">
        <f>('R2023'!G353+'R2022'!G353+'R2021'!G353)/3</f>
        <v>0</v>
      </c>
      <c r="H353" s="84">
        <f>('R2023'!H353+'R2022'!H353+'R2021'!H353)/3</f>
        <v>0</v>
      </c>
      <c r="I353" s="84">
        <f>('R2023'!I353+'R2022'!I353+'R2021'!I353)/3</f>
        <v>0</v>
      </c>
      <c r="J353" s="71"/>
      <c r="K353" s="84">
        <f t="shared" si="14"/>
        <v>0</v>
      </c>
      <c r="L353" s="67">
        <f t="shared" si="15"/>
        <v>0</v>
      </c>
    </row>
    <row r="354" spans="1:12" hidden="1" outlineLevel="1" x14ac:dyDescent="0.35">
      <c r="A354" s="37" t="s">
        <v>610</v>
      </c>
      <c r="B354" s="62" t="s">
        <v>611</v>
      </c>
      <c r="C354" s="54" t="s">
        <v>925</v>
      </c>
      <c r="D354" s="84">
        <f>('R2023'!D354+'R2022'!D354+'R2021'!D354)/3</f>
        <v>0</v>
      </c>
      <c r="E354" s="84">
        <f>('R2023'!E354+'R2022'!E354+'R2021'!E354)/3</f>
        <v>0</v>
      </c>
      <c r="F354" s="84">
        <f>('R2023'!F354+'R2022'!F354+'R2021'!F354)/3</f>
        <v>0</v>
      </c>
      <c r="G354" s="84">
        <f>('R2023'!G354+'R2022'!G354+'R2021'!G354)/3</f>
        <v>0</v>
      </c>
      <c r="H354" s="84">
        <f>('R2023'!H354+'R2022'!H354+'R2021'!H354)/3</f>
        <v>0</v>
      </c>
      <c r="I354" s="84">
        <f>('R2023'!I354+'R2022'!I354+'R2021'!I354)/3</f>
        <v>0</v>
      </c>
      <c r="J354" s="71"/>
      <c r="K354" s="84">
        <f t="shared" si="14"/>
        <v>0</v>
      </c>
      <c r="L354" s="67">
        <f t="shared" si="15"/>
        <v>0</v>
      </c>
    </row>
    <row r="355" spans="1:12" hidden="1" outlineLevel="1" x14ac:dyDescent="0.35">
      <c r="A355" s="37" t="s">
        <v>612</v>
      </c>
      <c r="B355" s="62" t="s">
        <v>613</v>
      </c>
      <c r="C355" s="54" t="s">
        <v>925</v>
      </c>
      <c r="D355" s="84">
        <f>('R2023'!D355+'R2022'!D355+'R2021'!D355)/3</f>
        <v>0</v>
      </c>
      <c r="E355" s="84">
        <f>('R2023'!E355+'R2022'!E355+'R2021'!E355)/3</f>
        <v>0</v>
      </c>
      <c r="F355" s="84">
        <f>('R2023'!F355+'R2022'!F355+'R2021'!F355)/3</f>
        <v>4711.333333333333</v>
      </c>
      <c r="G355" s="84">
        <f>('R2023'!G355+'R2022'!G355+'R2021'!G355)/3</f>
        <v>0</v>
      </c>
      <c r="H355" s="84">
        <f>('R2023'!H355+'R2022'!H355+'R2021'!H355)/3</f>
        <v>0</v>
      </c>
      <c r="I355" s="84">
        <f>('R2023'!I355+'R2022'!I355+'R2021'!I355)/3</f>
        <v>14995</v>
      </c>
      <c r="J355" s="71"/>
      <c r="K355" s="84">
        <f t="shared" si="14"/>
        <v>14995</v>
      </c>
      <c r="L355" s="67">
        <f t="shared" si="15"/>
        <v>19706.333333333332</v>
      </c>
    </row>
    <row r="356" spans="1:12" hidden="1" outlineLevel="1" x14ac:dyDescent="0.35">
      <c r="A356" s="37" t="s">
        <v>614</v>
      </c>
      <c r="B356" s="62" t="s">
        <v>615</v>
      </c>
      <c r="C356" s="54" t="s">
        <v>925</v>
      </c>
      <c r="D356" s="84">
        <f>('R2023'!D356+'R2022'!D356+'R2021'!D356)/3</f>
        <v>0</v>
      </c>
      <c r="E356" s="84">
        <f>('R2023'!E356+'R2022'!E356+'R2021'!E356)/3</f>
        <v>0</v>
      </c>
      <c r="F356" s="84">
        <f>('R2023'!F356+'R2022'!F356+'R2021'!F356)/3</f>
        <v>0</v>
      </c>
      <c r="G356" s="84">
        <f>('R2023'!G356+'R2022'!G356+'R2021'!G356)/3</f>
        <v>0</v>
      </c>
      <c r="H356" s="84">
        <f>('R2023'!H356+'R2022'!H356+'R2021'!H356)/3</f>
        <v>0</v>
      </c>
      <c r="I356" s="84">
        <f>('R2023'!I356+'R2022'!I356+'R2021'!I356)/3</f>
        <v>0</v>
      </c>
      <c r="J356" s="71"/>
      <c r="K356" s="84">
        <f t="shared" si="14"/>
        <v>0</v>
      </c>
      <c r="L356" s="67">
        <f t="shared" si="15"/>
        <v>0</v>
      </c>
    </row>
    <row r="357" spans="1:12" hidden="1" outlineLevel="1" x14ac:dyDescent="0.35">
      <c r="A357" s="37" t="s">
        <v>616</v>
      </c>
      <c r="B357" s="62" t="s">
        <v>617</v>
      </c>
      <c r="C357" s="54" t="s">
        <v>925</v>
      </c>
      <c r="D357" s="84">
        <f>('R2023'!D357+'R2022'!D357+'R2021'!D357)/3</f>
        <v>0</v>
      </c>
      <c r="E357" s="84">
        <f>('R2023'!E357+'R2022'!E357+'R2021'!E357)/3</f>
        <v>0</v>
      </c>
      <c r="F357" s="84">
        <f>('R2023'!F357+'R2022'!F357+'R2021'!F357)/3</f>
        <v>0</v>
      </c>
      <c r="G357" s="84">
        <f>('R2023'!G357+'R2022'!G357+'R2021'!G357)/3</f>
        <v>-818</v>
      </c>
      <c r="H357" s="84">
        <f>('R2023'!H357+'R2022'!H357+'R2021'!H357)/3</f>
        <v>0</v>
      </c>
      <c r="I357" s="84">
        <f>('R2023'!I357+'R2022'!I357+'R2021'!I357)/3</f>
        <v>-15198</v>
      </c>
      <c r="J357" s="71"/>
      <c r="K357" s="84">
        <f t="shared" si="14"/>
        <v>-15198</v>
      </c>
      <c r="L357" s="67">
        <f t="shared" si="15"/>
        <v>-16016</v>
      </c>
    </row>
    <row r="358" spans="1:12" hidden="1" outlineLevel="1" x14ac:dyDescent="0.35">
      <c r="A358" s="37" t="s">
        <v>618</v>
      </c>
      <c r="B358" s="62" t="s">
        <v>619</v>
      </c>
      <c r="C358" s="54" t="s">
        <v>925</v>
      </c>
      <c r="D358" s="84">
        <f>('R2023'!D358+'R2022'!D358+'R2021'!D358)/3</f>
        <v>0</v>
      </c>
      <c r="E358" s="84">
        <f>('R2023'!E358+'R2022'!E358+'R2021'!E358)/3</f>
        <v>0</v>
      </c>
      <c r="F358" s="84">
        <f>('R2023'!F358+'R2022'!F358+'R2021'!F358)/3</f>
        <v>0</v>
      </c>
      <c r="G358" s="84">
        <f>('R2023'!G358+'R2022'!G358+'R2021'!G358)/3</f>
        <v>0</v>
      </c>
      <c r="H358" s="84">
        <f>('R2023'!H358+'R2022'!H358+'R2021'!H358)/3</f>
        <v>0</v>
      </c>
      <c r="I358" s="84">
        <f>('R2023'!I358+'R2022'!I358+'R2021'!I358)/3</f>
        <v>0</v>
      </c>
      <c r="J358" s="71"/>
      <c r="K358" s="84">
        <f t="shared" si="14"/>
        <v>0</v>
      </c>
      <c r="L358" s="67">
        <f t="shared" si="15"/>
        <v>0</v>
      </c>
    </row>
    <row r="359" spans="1:12" hidden="1" outlineLevel="1" x14ac:dyDescent="0.35">
      <c r="A359" s="37" t="s">
        <v>620</v>
      </c>
      <c r="B359" s="62" t="s">
        <v>621</v>
      </c>
      <c r="C359" s="54" t="s">
        <v>925</v>
      </c>
      <c r="D359" s="84">
        <f>('R2023'!D359+'R2022'!D359+'R2021'!D359)/3</f>
        <v>0</v>
      </c>
      <c r="E359" s="84">
        <f>('R2023'!E359+'R2022'!E359+'R2021'!E359)/3</f>
        <v>80240</v>
      </c>
      <c r="F359" s="84">
        <f>('R2023'!F359+'R2022'!F359+'R2021'!F359)/3</f>
        <v>0</v>
      </c>
      <c r="G359" s="84">
        <f>('R2023'!G359+'R2022'!G359+'R2021'!G359)/3</f>
        <v>0</v>
      </c>
      <c r="H359" s="84">
        <f>('R2023'!H359+'R2022'!H359+'R2021'!H359)/3</f>
        <v>0</v>
      </c>
      <c r="I359" s="84">
        <f>('R2023'!I359+'R2022'!I359+'R2021'!I359)/3</f>
        <v>0</v>
      </c>
      <c r="J359" s="71"/>
      <c r="K359" s="84">
        <f t="shared" si="14"/>
        <v>0</v>
      </c>
      <c r="L359" s="67">
        <f t="shared" si="15"/>
        <v>80240</v>
      </c>
    </row>
    <row r="360" spans="1:12" hidden="1" outlineLevel="1" x14ac:dyDescent="0.35">
      <c r="A360" s="37" t="s">
        <v>622</v>
      </c>
      <c r="B360" s="62" t="s">
        <v>926</v>
      </c>
      <c r="C360" s="54" t="s">
        <v>925</v>
      </c>
      <c r="D360" s="84">
        <f>('R2023'!D360+'R2022'!D360+'R2021'!D360)/3</f>
        <v>0</v>
      </c>
      <c r="E360" s="84">
        <f>('R2023'!E360+'R2022'!E360+'R2021'!E360)/3</f>
        <v>0</v>
      </c>
      <c r="F360" s="84">
        <f>('R2023'!F360+'R2022'!F360+'R2021'!F360)/3</f>
        <v>701.33333333333337</v>
      </c>
      <c r="G360" s="84">
        <f>('R2023'!G360+'R2022'!G360+'R2021'!G360)/3</f>
        <v>13870</v>
      </c>
      <c r="H360" s="84">
        <f>('R2023'!H360+'R2022'!H360+'R2021'!H360)/3</f>
        <v>0</v>
      </c>
      <c r="I360" s="84">
        <f>('R2023'!I360+'R2022'!I360+'R2021'!I360)/3</f>
        <v>0</v>
      </c>
      <c r="J360" s="71"/>
      <c r="K360" s="84">
        <f t="shared" si="14"/>
        <v>0</v>
      </c>
      <c r="L360" s="67">
        <f t="shared" si="15"/>
        <v>14571.333333333334</v>
      </c>
    </row>
    <row r="361" spans="1:12" hidden="1" outlineLevel="1" x14ac:dyDescent="0.35">
      <c r="A361" s="37" t="s">
        <v>623</v>
      </c>
      <c r="B361" s="62" t="s">
        <v>927</v>
      </c>
      <c r="C361" s="54" t="s">
        <v>925</v>
      </c>
      <c r="D361" s="84">
        <f>('R2023'!D361+'R2022'!D361+'R2021'!D361)/3</f>
        <v>0</v>
      </c>
      <c r="E361" s="84">
        <f>('R2023'!E361+'R2022'!E361+'R2021'!E361)/3</f>
        <v>0</v>
      </c>
      <c r="F361" s="84">
        <f>('R2023'!F361+'R2022'!F361+'R2021'!F361)/3</f>
        <v>0</v>
      </c>
      <c r="G361" s="84">
        <f>('R2023'!G361+'R2022'!G361+'R2021'!G361)/3</f>
        <v>366.66666666666669</v>
      </c>
      <c r="H361" s="84">
        <f>('R2023'!H361+'R2022'!H361+'R2021'!H361)/3</f>
        <v>0</v>
      </c>
      <c r="I361" s="84">
        <f>('R2023'!I361+'R2022'!I361+'R2021'!I361)/3</f>
        <v>0</v>
      </c>
      <c r="J361" s="71"/>
      <c r="K361" s="84">
        <f t="shared" si="14"/>
        <v>0</v>
      </c>
      <c r="L361" s="67">
        <f t="shared" si="15"/>
        <v>366.66666666666669</v>
      </c>
    </row>
    <row r="362" spans="1:12" hidden="1" outlineLevel="1" x14ac:dyDescent="0.35">
      <c r="A362" s="37" t="s">
        <v>624</v>
      </c>
      <c r="B362" s="62" t="s">
        <v>625</v>
      </c>
      <c r="C362" s="54" t="s">
        <v>925</v>
      </c>
      <c r="D362" s="84">
        <f>('R2023'!D362+'R2022'!D362+'R2021'!D362)/3</f>
        <v>0</v>
      </c>
      <c r="E362" s="84">
        <f>('R2023'!E362+'R2022'!E362+'R2021'!E362)/3</f>
        <v>0</v>
      </c>
      <c r="F362" s="84">
        <f>('R2023'!F362+'R2022'!F362+'R2021'!F362)/3</f>
        <v>186495</v>
      </c>
      <c r="G362" s="84">
        <f>('R2023'!G362+'R2022'!G362+'R2021'!G362)/3</f>
        <v>121618.33333333333</v>
      </c>
      <c r="H362" s="84">
        <f>('R2023'!H362+'R2022'!H362+'R2021'!H362)/3</f>
        <v>92147.333333333328</v>
      </c>
      <c r="I362" s="84">
        <f>('R2023'!I362+'R2022'!I362+'R2021'!I362)/3</f>
        <v>59957.333333333336</v>
      </c>
      <c r="J362" s="71"/>
      <c r="K362" s="84">
        <f t="shared" si="14"/>
        <v>59957.333333333336</v>
      </c>
      <c r="L362" s="67">
        <f t="shared" si="15"/>
        <v>460218</v>
      </c>
    </row>
    <row r="363" spans="1:12" hidden="1" outlineLevel="1" x14ac:dyDescent="0.35">
      <c r="A363" s="37" t="s">
        <v>626</v>
      </c>
      <c r="B363" s="62" t="s">
        <v>627</v>
      </c>
      <c r="C363" s="54" t="s">
        <v>925</v>
      </c>
      <c r="D363" s="84">
        <f>('R2023'!D363+'R2022'!D363+'R2021'!D363)/3</f>
        <v>0</v>
      </c>
      <c r="E363" s="84">
        <f>('R2023'!E363+'R2022'!E363+'R2021'!E363)/3</f>
        <v>0</v>
      </c>
      <c r="F363" s="84">
        <f>('R2023'!F363+'R2022'!F363+'R2021'!F363)/3</f>
        <v>25599.666666666668</v>
      </c>
      <c r="G363" s="84">
        <f>('R2023'!G363+'R2022'!G363+'R2021'!G363)/3</f>
        <v>15114</v>
      </c>
      <c r="H363" s="84">
        <f>('R2023'!H363+'R2022'!H363+'R2021'!H363)/3</f>
        <v>13276.666666666666</v>
      </c>
      <c r="I363" s="84">
        <f>('R2023'!I363+'R2022'!I363+'R2021'!I363)/3</f>
        <v>7869.333333333333</v>
      </c>
      <c r="J363" s="71"/>
      <c r="K363" s="84">
        <f t="shared" si="14"/>
        <v>7869.333333333333</v>
      </c>
      <c r="L363" s="67">
        <f t="shared" si="15"/>
        <v>61859.666666666664</v>
      </c>
    </row>
    <row r="364" spans="1:12" hidden="1" outlineLevel="1" x14ac:dyDescent="0.35">
      <c r="A364" s="37" t="s">
        <v>628</v>
      </c>
      <c r="B364" s="62" t="s">
        <v>629</v>
      </c>
      <c r="C364" s="54" t="s">
        <v>925</v>
      </c>
      <c r="D364" s="84">
        <f>('R2023'!D364+'R2022'!D364+'R2021'!D364)/3</f>
        <v>0</v>
      </c>
      <c r="E364" s="84">
        <f>('R2023'!E364+'R2022'!E364+'R2021'!E364)/3</f>
        <v>0</v>
      </c>
      <c r="F364" s="84">
        <f>('R2023'!F364+'R2022'!F364+'R2021'!F364)/3</f>
        <v>83826.666666666672</v>
      </c>
      <c r="G364" s="84">
        <f>('R2023'!G364+'R2022'!G364+'R2021'!G364)/3</f>
        <v>36979</v>
      </c>
      <c r="H364" s="84">
        <f>('R2023'!H364+'R2022'!H364+'R2021'!H364)/3</f>
        <v>32070.333333333332</v>
      </c>
      <c r="I364" s="84">
        <f>('R2023'!I364+'R2022'!I364+'R2021'!I364)/3</f>
        <v>18749</v>
      </c>
      <c r="J364" s="71"/>
      <c r="K364" s="84">
        <f t="shared" si="14"/>
        <v>18749</v>
      </c>
      <c r="L364" s="67">
        <f t="shared" si="15"/>
        <v>171625.00000000003</v>
      </c>
    </row>
    <row r="365" spans="1:12" hidden="1" outlineLevel="1" x14ac:dyDescent="0.35">
      <c r="A365" s="37" t="s">
        <v>630</v>
      </c>
      <c r="B365" s="62" t="s">
        <v>631</v>
      </c>
      <c r="C365" s="54" t="s">
        <v>925</v>
      </c>
      <c r="D365" s="84">
        <f>('R2023'!D365+'R2022'!D365+'R2021'!D365)/3</f>
        <v>0</v>
      </c>
      <c r="E365" s="84">
        <f>('R2023'!E365+'R2022'!E365+'R2021'!E365)/3</f>
        <v>0</v>
      </c>
      <c r="F365" s="84">
        <f>('R2023'!F365+'R2022'!F365+'R2021'!F365)/3</f>
        <v>0</v>
      </c>
      <c r="G365" s="84">
        <f>('R2023'!G365+'R2022'!G365+'R2021'!G365)/3</f>
        <v>0</v>
      </c>
      <c r="H365" s="84">
        <f>('R2023'!H365+'R2022'!H365+'R2021'!H365)/3</f>
        <v>0</v>
      </c>
      <c r="I365" s="84">
        <f>('R2023'!I365+'R2022'!I365+'R2021'!I365)/3</f>
        <v>0</v>
      </c>
      <c r="J365" s="71"/>
      <c r="K365" s="84">
        <f t="shared" si="14"/>
        <v>0</v>
      </c>
      <c r="L365" s="67">
        <f t="shared" si="15"/>
        <v>0</v>
      </c>
    </row>
    <row r="366" spans="1:12" hidden="1" outlineLevel="1" x14ac:dyDescent="0.35">
      <c r="A366" s="37" t="s">
        <v>632</v>
      </c>
      <c r="B366" s="62" t="s">
        <v>633</v>
      </c>
      <c r="C366" s="54" t="s">
        <v>925</v>
      </c>
      <c r="D366" s="84">
        <f>('R2023'!D366+'R2022'!D366+'R2021'!D366)/3</f>
        <v>0</v>
      </c>
      <c r="E366" s="84">
        <f>('R2023'!E366+'R2022'!E366+'R2021'!E366)/3</f>
        <v>0</v>
      </c>
      <c r="F366" s="84">
        <f>('R2023'!F366+'R2022'!F366+'R2021'!F366)/3</f>
        <v>0</v>
      </c>
      <c r="G366" s="84">
        <f>('R2023'!G366+'R2022'!G366+'R2021'!G366)/3</f>
        <v>2483</v>
      </c>
      <c r="H366" s="84">
        <f>('R2023'!H366+'R2022'!H366+'R2021'!H366)/3</f>
        <v>0</v>
      </c>
      <c r="I366" s="84">
        <f>('R2023'!I366+'R2022'!I366+'R2021'!I366)/3</f>
        <v>0</v>
      </c>
      <c r="J366" s="71"/>
      <c r="K366" s="84">
        <f t="shared" si="14"/>
        <v>0</v>
      </c>
      <c r="L366" s="67">
        <f t="shared" si="15"/>
        <v>2483</v>
      </c>
    </row>
    <row r="367" spans="1:12" hidden="1" outlineLevel="1" x14ac:dyDescent="0.35">
      <c r="A367" s="37" t="s">
        <v>634</v>
      </c>
      <c r="B367" s="62" t="s">
        <v>635</v>
      </c>
      <c r="C367" s="54" t="s">
        <v>925</v>
      </c>
      <c r="D367" s="84">
        <f>('R2023'!D367+'R2022'!D367+'R2021'!D367)/3</f>
        <v>0</v>
      </c>
      <c r="E367" s="84">
        <f>('R2023'!E367+'R2022'!E367+'R2021'!E367)/3</f>
        <v>0</v>
      </c>
      <c r="F367" s="84">
        <f>('R2023'!F367+'R2022'!F367+'R2021'!F367)/3</f>
        <v>0</v>
      </c>
      <c r="G367" s="84">
        <f>('R2023'!G367+'R2022'!G367+'R2021'!G367)/3</f>
        <v>0</v>
      </c>
      <c r="H367" s="84">
        <f>('R2023'!H367+'R2022'!H367+'R2021'!H367)/3</f>
        <v>0</v>
      </c>
      <c r="I367" s="84">
        <f>('R2023'!I367+'R2022'!I367+'R2021'!I367)/3</f>
        <v>0</v>
      </c>
      <c r="J367" s="71"/>
      <c r="K367" s="84">
        <f t="shared" si="14"/>
        <v>0</v>
      </c>
      <c r="L367" s="67">
        <f t="shared" si="15"/>
        <v>0</v>
      </c>
    </row>
    <row r="368" spans="1:12" hidden="1" outlineLevel="1" x14ac:dyDescent="0.35">
      <c r="A368" s="37" t="s">
        <v>636</v>
      </c>
      <c r="B368" s="62" t="s">
        <v>637</v>
      </c>
      <c r="C368" s="54" t="s">
        <v>925</v>
      </c>
      <c r="D368" s="84">
        <f>('R2023'!D368+'R2022'!D368+'R2021'!D368)/3</f>
        <v>0</v>
      </c>
      <c r="E368" s="84">
        <f>('R2023'!E368+'R2022'!E368+'R2021'!E368)/3</f>
        <v>0</v>
      </c>
      <c r="F368" s="84">
        <f>('R2023'!F368+'R2022'!F368+'R2021'!F368)/3</f>
        <v>-212642.33333333334</v>
      </c>
      <c r="G368" s="84">
        <f>('R2023'!G368+'R2022'!G368+'R2021'!G368)/3</f>
        <v>-110.33333333333333</v>
      </c>
      <c r="H368" s="84">
        <f>('R2023'!H368+'R2022'!H368+'R2021'!H368)/3</f>
        <v>0</v>
      </c>
      <c r="I368" s="84">
        <f>('R2023'!I368+'R2022'!I368+'R2021'!I368)/3</f>
        <v>-52854.666666666664</v>
      </c>
      <c r="J368" s="71"/>
      <c r="K368" s="84">
        <f t="shared" si="14"/>
        <v>-52854.666666666664</v>
      </c>
      <c r="L368" s="67">
        <f t="shared" si="15"/>
        <v>-265607.33333333331</v>
      </c>
    </row>
    <row r="369" spans="1:12" hidden="1" outlineLevel="1" x14ac:dyDescent="0.35">
      <c r="A369" s="37" t="s">
        <v>638</v>
      </c>
      <c r="B369" s="62" t="s">
        <v>639</v>
      </c>
      <c r="C369" s="54" t="s">
        <v>925</v>
      </c>
      <c r="D369" s="84">
        <f>('R2023'!D369+'R2022'!D369+'R2021'!D369)/3</f>
        <v>0</v>
      </c>
      <c r="E369" s="84">
        <f>('R2023'!E369+'R2022'!E369+'R2021'!E369)/3</f>
        <v>0</v>
      </c>
      <c r="F369" s="84">
        <f>('R2023'!F369+'R2022'!F369+'R2021'!F369)/3</f>
        <v>70013.333333333328</v>
      </c>
      <c r="G369" s="84">
        <f>('R2023'!G369+'R2022'!G369+'R2021'!G369)/3</f>
        <v>-110.33333333333333</v>
      </c>
      <c r="H369" s="84">
        <f>('R2023'!H369+'R2022'!H369+'R2021'!H369)/3</f>
        <v>0</v>
      </c>
      <c r="I369" s="84">
        <f>('R2023'!I369+'R2022'!I369+'R2021'!I369)/3</f>
        <v>0</v>
      </c>
      <c r="J369" s="71"/>
      <c r="K369" s="84">
        <f t="shared" si="14"/>
        <v>0</v>
      </c>
      <c r="L369" s="67">
        <f t="shared" si="15"/>
        <v>69903</v>
      </c>
    </row>
    <row r="370" spans="1:12" hidden="1" outlineLevel="1" x14ac:dyDescent="0.35">
      <c r="A370" s="37" t="s">
        <v>640</v>
      </c>
      <c r="B370" s="62" t="s">
        <v>641</v>
      </c>
      <c r="C370" s="54" t="s">
        <v>925</v>
      </c>
      <c r="D370" s="84">
        <f>('R2023'!D370+'R2022'!D370+'R2021'!D370)/3</f>
        <v>0</v>
      </c>
      <c r="E370" s="84">
        <f>('R2023'!E370+'R2022'!E370+'R2021'!E370)/3</f>
        <v>0</v>
      </c>
      <c r="F370" s="84">
        <f>('R2023'!F370+'R2022'!F370+'R2021'!F370)/3</f>
        <v>-70013.333333333328</v>
      </c>
      <c r="G370" s="84">
        <f>('R2023'!G370+'R2022'!G370+'R2021'!G370)/3</f>
        <v>110.33333333333333</v>
      </c>
      <c r="H370" s="84">
        <f>('R2023'!H370+'R2022'!H370+'R2021'!H370)/3</f>
        <v>0</v>
      </c>
      <c r="I370" s="84">
        <f>('R2023'!I370+'R2022'!I370+'R2021'!I370)/3</f>
        <v>0</v>
      </c>
      <c r="J370" s="71"/>
      <c r="K370" s="84">
        <f t="shared" si="14"/>
        <v>0</v>
      </c>
      <c r="L370" s="67">
        <f t="shared" si="15"/>
        <v>-69903</v>
      </c>
    </row>
    <row r="371" spans="1:12" hidden="1" outlineLevel="1" x14ac:dyDescent="0.35">
      <c r="A371" s="37" t="s">
        <v>642</v>
      </c>
      <c r="B371" s="62" t="s">
        <v>643</v>
      </c>
      <c r="C371" s="54" t="s">
        <v>925</v>
      </c>
      <c r="D371" s="84">
        <f>('R2023'!D371+'R2022'!D371+'R2021'!D371)/3</f>
        <v>0</v>
      </c>
      <c r="E371" s="84">
        <f>('R2023'!E371+'R2022'!E371+'R2021'!E371)/3</f>
        <v>0</v>
      </c>
      <c r="F371" s="84">
        <f>('R2023'!F371+'R2022'!F371+'R2021'!F371)/3</f>
        <v>0</v>
      </c>
      <c r="G371" s="84">
        <f>('R2023'!G371+'R2022'!G371+'R2021'!G371)/3</f>
        <v>0</v>
      </c>
      <c r="H371" s="84">
        <f>('R2023'!H371+'R2022'!H371+'R2021'!H371)/3</f>
        <v>0</v>
      </c>
      <c r="I371" s="84">
        <f>('R2023'!I371+'R2022'!I371+'R2021'!I371)/3</f>
        <v>0</v>
      </c>
      <c r="J371" s="71"/>
      <c r="K371" s="84">
        <f t="shared" si="14"/>
        <v>0</v>
      </c>
      <c r="L371" s="67">
        <f t="shared" si="15"/>
        <v>0</v>
      </c>
    </row>
    <row r="372" spans="1:12" hidden="1" outlineLevel="1" x14ac:dyDescent="0.35">
      <c r="A372" s="37" t="s">
        <v>644</v>
      </c>
      <c r="B372" s="62" t="s">
        <v>645</v>
      </c>
      <c r="C372" s="54" t="s">
        <v>925</v>
      </c>
      <c r="D372" s="84">
        <f>('R2023'!D372+'R2022'!D372+'R2021'!D372)/3</f>
        <v>0</v>
      </c>
      <c r="E372" s="84">
        <f>('R2023'!E372+'R2022'!E372+'R2021'!E372)/3</f>
        <v>0</v>
      </c>
      <c r="F372" s="84">
        <f>('R2023'!F372+'R2022'!F372+'R2021'!F372)/3</f>
        <v>0</v>
      </c>
      <c r="G372" s="84">
        <f>('R2023'!G372+'R2022'!G372+'R2021'!G372)/3</f>
        <v>0</v>
      </c>
      <c r="H372" s="84">
        <f>('R2023'!H372+'R2022'!H372+'R2021'!H372)/3</f>
        <v>0</v>
      </c>
      <c r="I372" s="84">
        <f>('R2023'!I372+'R2022'!I372+'R2021'!I372)/3</f>
        <v>0</v>
      </c>
      <c r="J372" s="71"/>
      <c r="K372" s="84">
        <f t="shared" si="14"/>
        <v>0</v>
      </c>
      <c r="L372" s="67">
        <f t="shared" si="15"/>
        <v>0</v>
      </c>
    </row>
    <row r="373" spans="1:12" hidden="1" outlineLevel="1" x14ac:dyDescent="0.35">
      <c r="A373" s="37" t="s">
        <v>646</v>
      </c>
      <c r="B373" s="62" t="s">
        <v>647</v>
      </c>
      <c r="C373" s="54" t="s">
        <v>925</v>
      </c>
      <c r="D373" s="84">
        <f>('R2023'!D373+'R2022'!D373+'R2021'!D373)/3</f>
        <v>0</v>
      </c>
      <c r="E373" s="84">
        <f>('R2023'!E373+'R2022'!E373+'R2021'!E373)/3</f>
        <v>0</v>
      </c>
      <c r="F373" s="84">
        <f>('R2023'!F373+'R2022'!F373+'R2021'!F373)/3</f>
        <v>0</v>
      </c>
      <c r="G373" s="84">
        <f>('R2023'!G373+'R2022'!G373+'R2021'!G373)/3</f>
        <v>449.33333333333331</v>
      </c>
      <c r="H373" s="84">
        <f>('R2023'!H373+'R2022'!H373+'R2021'!H373)/3</f>
        <v>0</v>
      </c>
      <c r="I373" s="84">
        <f>('R2023'!I373+'R2022'!I373+'R2021'!I373)/3</f>
        <v>111.33333333333333</v>
      </c>
      <c r="J373" s="71"/>
      <c r="K373" s="84">
        <f t="shared" si="14"/>
        <v>111.33333333333333</v>
      </c>
      <c r="L373" s="67">
        <f t="shared" si="15"/>
        <v>560.66666666666663</v>
      </c>
    </row>
    <row r="374" spans="1:12" hidden="1" outlineLevel="1" x14ac:dyDescent="0.35">
      <c r="A374" s="37" t="s">
        <v>648</v>
      </c>
      <c r="B374" s="62" t="s">
        <v>649</v>
      </c>
      <c r="C374" s="54" t="s">
        <v>925</v>
      </c>
      <c r="D374" s="84">
        <f>('R2023'!D374+'R2022'!D374+'R2021'!D374)/3</f>
        <v>0</v>
      </c>
      <c r="E374" s="84">
        <f>('R2023'!E374+'R2022'!E374+'R2021'!E374)/3</f>
        <v>0</v>
      </c>
      <c r="F374" s="84">
        <f>('R2023'!F374+'R2022'!F374+'R2021'!F374)/3</f>
        <v>0</v>
      </c>
      <c r="G374" s="84">
        <f>('R2023'!G374+'R2022'!G374+'R2021'!G374)/3</f>
        <v>0</v>
      </c>
      <c r="H374" s="84">
        <f>('R2023'!H374+'R2022'!H374+'R2021'!H374)/3</f>
        <v>0</v>
      </c>
      <c r="I374" s="84">
        <f>('R2023'!I374+'R2022'!I374+'R2021'!I374)/3</f>
        <v>0</v>
      </c>
      <c r="J374" s="71"/>
      <c r="K374" s="84">
        <f t="shared" si="14"/>
        <v>0</v>
      </c>
      <c r="L374" s="67">
        <f t="shared" si="15"/>
        <v>0</v>
      </c>
    </row>
    <row r="375" spans="1:12" hidden="1" outlineLevel="1" x14ac:dyDescent="0.35">
      <c r="A375" s="37" t="s">
        <v>650</v>
      </c>
      <c r="B375" s="62" t="s">
        <v>651</v>
      </c>
      <c r="C375" s="54" t="s">
        <v>925</v>
      </c>
      <c r="D375" s="84">
        <f>('R2023'!D375+'R2022'!D375+'R2021'!D375)/3</f>
        <v>0</v>
      </c>
      <c r="E375" s="84">
        <f>('R2023'!E375+'R2022'!E375+'R2021'!E375)/3</f>
        <v>0</v>
      </c>
      <c r="F375" s="84">
        <f>('R2023'!F375+'R2022'!F375+'R2021'!F375)/3</f>
        <v>0</v>
      </c>
      <c r="G375" s="84">
        <f>('R2023'!G375+'R2022'!G375+'R2021'!G375)/3</f>
        <v>0</v>
      </c>
      <c r="H375" s="84">
        <f>('R2023'!H375+'R2022'!H375+'R2021'!H375)/3</f>
        <v>0</v>
      </c>
      <c r="I375" s="84">
        <f>('R2023'!I375+'R2022'!I375+'R2021'!I375)/3</f>
        <v>0</v>
      </c>
      <c r="J375" s="71"/>
      <c r="K375" s="84">
        <f t="shared" si="14"/>
        <v>0</v>
      </c>
      <c r="L375" s="67">
        <f t="shared" si="15"/>
        <v>0</v>
      </c>
    </row>
    <row r="376" spans="1:12" hidden="1" outlineLevel="1" x14ac:dyDescent="0.35">
      <c r="A376" s="37" t="s">
        <v>652</v>
      </c>
      <c r="B376" s="62" t="s">
        <v>653</v>
      </c>
      <c r="C376" s="54" t="s">
        <v>925</v>
      </c>
      <c r="D376" s="84">
        <f>('R2023'!D376+'R2022'!D376+'R2021'!D376)/3</f>
        <v>0</v>
      </c>
      <c r="E376" s="84">
        <f>('R2023'!E376+'R2022'!E376+'R2021'!E376)/3</f>
        <v>0</v>
      </c>
      <c r="F376" s="84">
        <f>('R2023'!F376+'R2022'!F376+'R2021'!F376)/3</f>
        <v>0</v>
      </c>
      <c r="G376" s="84">
        <f>('R2023'!G376+'R2022'!G376+'R2021'!G376)/3</f>
        <v>2623.3333333333335</v>
      </c>
      <c r="H376" s="84">
        <f>('R2023'!H376+'R2022'!H376+'R2021'!H376)/3</f>
        <v>0</v>
      </c>
      <c r="I376" s="84">
        <f>('R2023'!I376+'R2022'!I376+'R2021'!I376)/3</f>
        <v>0</v>
      </c>
      <c r="J376" s="71"/>
      <c r="K376" s="84">
        <f t="shared" si="14"/>
        <v>0</v>
      </c>
      <c r="L376" s="67">
        <f t="shared" si="15"/>
        <v>2623.3333333333335</v>
      </c>
    </row>
    <row r="377" spans="1:12" hidden="1" outlineLevel="1" x14ac:dyDescent="0.35">
      <c r="A377" s="37" t="s">
        <v>654</v>
      </c>
      <c r="B377" s="62" t="s">
        <v>655</v>
      </c>
      <c r="C377" s="54" t="s">
        <v>925</v>
      </c>
      <c r="D377" s="84">
        <f>('R2023'!D377+'R2022'!D377+'R2021'!D377)/3</f>
        <v>0</v>
      </c>
      <c r="E377" s="84">
        <f>('R2023'!E377+'R2022'!E377+'R2021'!E377)/3</f>
        <v>0</v>
      </c>
      <c r="F377" s="84">
        <f>('R2023'!F377+'R2022'!F377+'R2021'!F377)/3</f>
        <v>0</v>
      </c>
      <c r="G377" s="84">
        <f>('R2023'!G377+'R2022'!G377+'R2021'!G377)/3</f>
        <v>0</v>
      </c>
      <c r="H377" s="84">
        <f>('R2023'!H377+'R2022'!H377+'R2021'!H377)/3</f>
        <v>0</v>
      </c>
      <c r="I377" s="84">
        <f>('R2023'!I377+'R2022'!I377+'R2021'!I377)/3</f>
        <v>0</v>
      </c>
      <c r="J377" s="71"/>
      <c r="K377" s="84">
        <f t="shared" si="14"/>
        <v>0</v>
      </c>
      <c r="L377" s="67">
        <f t="shared" si="15"/>
        <v>0</v>
      </c>
    </row>
    <row r="378" spans="1:12" hidden="1" outlineLevel="1" x14ac:dyDescent="0.35">
      <c r="A378" s="55" t="s">
        <v>656</v>
      </c>
      <c r="B378" s="78" t="s">
        <v>657</v>
      </c>
      <c r="C378" s="54" t="s">
        <v>925</v>
      </c>
      <c r="D378" s="84">
        <f>('R2023'!D378+'R2022'!D378+'R2021'!D378)/3</f>
        <v>0</v>
      </c>
      <c r="E378" s="84">
        <f>('R2023'!E378+'R2022'!E378+'R2021'!E378)/3</f>
        <v>0</v>
      </c>
      <c r="F378" s="84">
        <f>('R2023'!F378+'R2022'!F378+'R2021'!F378)/3</f>
        <v>0</v>
      </c>
      <c r="G378" s="84">
        <f>('R2023'!G378+'R2022'!G378+'R2021'!G378)/3</f>
        <v>0</v>
      </c>
      <c r="H378" s="84">
        <f>('R2023'!H378+'R2022'!H378+'R2021'!H378)/3</f>
        <v>0</v>
      </c>
      <c r="I378" s="84">
        <f>('R2023'!I378+'R2022'!I378+'R2021'!I378)/3</f>
        <v>0</v>
      </c>
      <c r="J378" s="71"/>
      <c r="K378" s="84">
        <f t="shared" si="14"/>
        <v>0</v>
      </c>
      <c r="L378" s="67">
        <f t="shared" si="15"/>
        <v>0</v>
      </c>
    </row>
    <row r="379" spans="1:12" hidden="1" outlineLevel="1" x14ac:dyDescent="0.35">
      <c r="A379" s="55" t="s">
        <v>658</v>
      </c>
      <c r="B379" s="78" t="s">
        <v>659</v>
      </c>
      <c r="C379" s="54" t="s">
        <v>925</v>
      </c>
      <c r="D379" s="84">
        <f>('R2023'!D379+'R2022'!D379+'R2021'!D379)/3</f>
        <v>0</v>
      </c>
      <c r="E379" s="84">
        <f>('R2023'!E379+'R2022'!E379+'R2021'!E379)/3</f>
        <v>0</v>
      </c>
      <c r="F379" s="84">
        <f>('R2023'!F379+'R2022'!F379+'R2021'!F379)/3</f>
        <v>0</v>
      </c>
      <c r="G379" s="84">
        <f>('R2023'!G379+'R2022'!G379+'R2021'!G379)/3</f>
        <v>0</v>
      </c>
      <c r="H379" s="84">
        <f>('R2023'!H379+'R2022'!H379+'R2021'!H379)/3</f>
        <v>0</v>
      </c>
      <c r="I379" s="84">
        <f>('R2023'!I379+'R2022'!I379+'R2021'!I379)/3</f>
        <v>0</v>
      </c>
      <c r="J379" s="71"/>
      <c r="K379" s="84">
        <f t="shared" si="14"/>
        <v>0</v>
      </c>
      <c r="L379" s="67">
        <f t="shared" si="15"/>
        <v>0</v>
      </c>
    </row>
    <row r="380" spans="1:12" hidden="1" outlineLevel="1" x14ac:dyDescent="0.35">
      <c r="A380" s="37" t="s">
        <v>660</v>
      </c>
      <c r="B380" s="62" t="s">
        <v>661</v>
      </c>
      <c r="C380" s="54" t="s">
        <v>925</v>
      </c>
      <c r="D380" s="84">
        <f>('R2023'!D380+'R2022'!D380+'R2021'!D380)/3</f>
        <v>0</v>
      </c>
      <c r="E380" s="84">
        <f>('R2023'!E380+'R2022'!E380+'R2021'!E380)/3</f>
        <v>0</v>
      </c>
      <c r="F380" s="84">
        <f>('R2023'!F380+'R2022'!F380+'R2021'!F380)/3</f>
        <v>0</v>
      </c>
      <c r="G380" s="84">
        <f>('R2023'!G380+'R2022'!G380+'R2021'!G380)/3</f>
        <v>0</v>
      </c>
      <c r="H380" s="84">
        <f>('R2023'!H380+'R2022'!H380+'R2021'!H380)/3</f>
        <v>0</v>
      </c>
      <c r="I380" s="84">
        <f>('R2023'!I380+'R2022'!I380+'R2021'!I380)/3</f>
        <v>0</v>
      </c>
      <c r="J380" s="71"/>
      <c r="K380" s="84">
        <f t="shared" si="14"/>
        <v>0</v>
      </c>
      <c r="L380" s="67">
        <f t="shared" si="15"/>
        <v>0</v>
      </c>
    </row>
    <row r="381" spans="1:12" hidden="1" outlineLevel="1" x14ac:dyDescent="0.35">
      <c r="A381" s="37" t="s">
        <v>662</v>
      </c>
      <c r="B381" s="62" t="s">
        <v>663</v>
      </c>
      <c r="C381" s="54" t="s">
        <v>925</v>
      </c>
      <c r="D381" s="84">
        <f>('R2023'!D381+'R2022'!D381+'R2021'!D381)/3</f>
        <v>0</v>
      </c>
      <c r="E381" s="84">
        <f>('R2023'!E381+'R2022'!E381+'R2021'!E381)/3</f>
        <v>0</v>
      </c>
      <c r="F381" s="84">
        <f>('R2023'!F381+'R2022'!F381+'R2021'!F381)/3</f>
        <v>31628.666666666668</v>
      </c>
      <c r="G381" s="84">
        <f>('R2023'!G381+'R2022'!G381+'R2021'!G381)/3</f>
        <v>36979</v>
      </c>
      <c r="H381" s="84">
        <f>('R2023'!H381+'R2022'!H381+'R2021'!H381)/3</f>
        <v>0</v>
      </c>
      <c r="I381" s="84">
        <f>('R2023'!I381+'R2022'!I381+'R2021'!I381)/3</f>
        <v>0</v>
      </c>
      <c r="J381" s="71"/>
      <c r="K381" s="84">
        <f t="shared" si="14"/>
        <v>0</v>
      </c>
      <c r="L381" s="67">
        <f t="shared" si="15"/>
        <v>68607.666666666672</v>
      </c>
    </row>
    <row r="382" spans="1:12" hidden="1" outlineLevel="1" x14ac:dyDescent="0.35">
      <c r="A382" s="37" t="s">
        <v>664</v>
      </c>
      <c r="B382" s="62" t="s">
        <v>665</v>
      </c>
      <c r="C382" s="54" t="s">
        <v>925</v>
      </c>
      <c r="D382" s="84">
        <f>('R2023'!D382+'R2022'!D382+'R2021'!D382)/3</f>
        <v>0</v>
      </c>
      <c r="E382" s="84">
        <f>('R2023'!E382+'R2022'!E382+'R2021'!E382)/3</f>
        <v>0</v>
      </c>
      <c r="F382" s="84">
        <f>('R2023'!F382+'R2022'!F382+'R2021'!F382)/3</f>
        <v>-31628.666666666668</v>
      </c>
      <c r="G382" s="84">
        <f>('R2023'!G382+'R2022'!G382+'R2021'!G382)/3</f>
        <v>-36979</v>
      </c>
      <c r="H382" s="84">
        <f>('R2023'!H382+'R2022'!H382+'R2021'!H382)/3</f>
        <v>0</v>
      </c>
      <c r="I382" s="84">
        <f>('R2023'!I382+'R2022'!I382+'R2021'!I382)/3</f>
        <v>0</v>
      </c>
      <c r="J382" s="71"/>
      <c r="K382" s="84">
        <f t="shared" si="14"/>
        <v>0</v>
      </c>
      <c r="L382" s="67">
        <f t="shared" si="15"/>
        <v>-68607.666666666672</v>
      </c>
    </row>
    <row r="383" spans="1:12" hidden="1" outlineLevel="1" x14ac:dyDescent="0.35">
      <c r="A383" s="37" t="s">
        <v>666</v>
      </c>
      <c r="B383" s="62" t="s">
        <v>667</v>
      </c>
      <c r="C383" s="54" t="s">
        <v>925</v>
      </c>
      <c r="D383" s="84">
        <f>('R2023'!D383+'R2022'!D383+'R2021'!D383)/3</f>
        <v>0</v>
      </c>
      <c r="E383" s="84">
        <f>('R2023'!E383+'R2022'!E383+'R2021'!E383)/3</f>
        <v>0</v>
      </c>
      <c r="F383" s="84">
        <f>('R2023'!F383+'R2022'!F383+'R2021'!F383)/3</f>
        <v>0</v>
      </c>
      <c r="G383" s="84">
        <f>('R2023'!G383+'R2022'!G383+'R2021'!G383)/3</f>
        <v>4718.333333333333</v>
      </c>
      <c r="H383" s="84">
        <f>('R2023'!H383+'R2022'!H383+'R2021'!H383)/3</f>
        <v>0</v>
      </c>
      <c r="I383" s="84">
        <f>('R2023'!I383+'R2022'!I383+'R2021'!I383)/3</f>
        <v>0</v>
      </c>
      <c r="J383" s="71"/>
      <c r="K383" s="84">
        <f t="shared" si="14"/>
        <v>0</v>
      </c>
      <c r="L383" s="67">
        <f t="shared" si="15"/>
        <v>4718.333333333333</v>
      </c>
    </row>
    <row r="384" spans="1:12" hidden="1" outlineLevel="1" x14ac:dyDescent="0.35">
      <c r="A384" s="37" t="s">
        <v>668</v>
      </c>
      <c r="B384" s="62" t="s">
        <v>669</v>
      </c>
      <c r="C384" s="54" t="s">
        <v>925</v>
      </c>
      <c r="D384" s="84">
        <f>('R2023'!D384+'R2022'!D384+'R2021'!D384)/3</f>
        <v>0</v>
      </c>
      <c r="E384" s="84">
        <f>('R2023'!E384+'R2022'!E384+'R2021'!E384)/3</f>
        <v>0</v>
      </c>
      <c r="F384" s="84">
        <f>('R2023'!F384+'R2022'!F384+'R2021'!F384)/3</f>
        <v>0</v>
      </c>
      <c r="G384" s="84">
        <f>('R2023'!G384+'R2022'!G384+'R2021'!G384)/3</f>
        <v>0</v>
      </c>
      <c r="H384" s="84">
        <f>('R2023'!H384+'R2022'!H384+'R2021'!H384)/3</f>
        <v>0</v>
      </c>
      <c r="I384" s="84">
        <f>('R2023'!I384+'R2022'!I384+'R2021'!I384)/3</f>
        <v>59750</v>
      </c>
      <c r="J384" s="71"/>
      <c r="K384" s="84">
        <f t="shared" si="14"/>
        <v>59750</v>
      </c>
      <c r="L384" s="67">
        <f t="shared" si="15"/>
        <v>59750</v>
      </c>
    </row>
    <row r="385" spans="1:15" hidden="1" outlineLevel="1" x14ac:dyDescent="0.35">
      <c r="A385" s="37" t="s">
        <v>670</v>
      </c>
      <c r="B385" s="62" t="s">
        <v>671</v>
      </c>
      <c r="C385" s="54" t="s">
        <v>925</v>
      </c>
      <c r="D385" s="84">
        <f>('R2023'!D385+'R2022'!D385+'R2021'!D385)/3</f>
        <v>0</v>
      </c>
      <c r="E385" s="84">
        <f>('R2023'!E385+'R2022'!E385+'R2021'!E385)/3</f>
        <v>0</v>
      </c>
      <c r="F385" s="84">
        <f>('R2023'!F385+'R2022'!F385+'R2021'!F385)/3</f>
        <v>0</v>
      </c>
      <c r="G385" s="84">
        <f>('R2023'!G385+'R2022'!G385+'R2021'!G385)/3</f>
        <v>0</v>
      </c>
      <c r="H385" s="84">
        <f>('R2023'!H385+'R2022'!H385+'R2021'!H385)/3</f>
        <v>0</v>
      </c>
      <c r="I385" s="84">
        <f>('R2023'!I385+'R2022'!I385+'R2021'!I385)/3</f>
        <v>0</v>
      </c>
      <c r="J385" s="71"/>
      <c r="K385" s="84">
        <f t="shared" si="14"/>
        <v>0</v>
      </c>
      <c r="L385" s="67">
        <f t="shared" si="15"/>
        <v>0</v>
      </c>
    </row>
    <row r="386" spans="1:15" collapsed="1" x14ac:dyDescent="0.35">
      <c r="A386" s="37"/>
      <c r="B386" s="62" t="s">
        <v>928</v>
      </c>
      <c r="C386" s="54"/>
      <c r="D386" s="84">
        <f>('R2023'!D386+'R2022'!D386+'R2021'!D386)/3</f>
        <v>0</v>
      </c>
      <c r="E386" s="84">
        <f>('R2023'!E386+'R2022'!E386+'R2021'!E386)/3</f>
        <v>0</v>
      </c>
      <c r="F386" s="84">
        <f>('R2023'!F386+'R2022'!F386+'R2021'!F386)/3</f>
        <v>60999</v>
      </c>
      <c r="G386" s="84">
        <f>('R2023'!G386+'R2022'!G386+'R2021'!G386)/3</f>
        <v>176756.33333333334</v>
      </c>
      <c r="H386" s="84">
        <f>('R2023'!H386+'R2022'!H386+'R2021'!H386)/3</f>
        <v>62475.666666666664</v>
      </c>
      <c r="I386" s="84">
        <f>('R2023'!I386+'R2022'!I386+'R2021'!I386)/3</f>
        <v>0</v>
      </c>
      <c r="J386" s="71"/>
      <c r="K386" s="84">
        <f t="shared" si="14"/>
        <v>0</v>
      </c>
      <c r="L386" s="67">
        <f t="shared" si="15"/>
        <v>300231</v>
      </c>
    </row>
    <row r="387" spans="1:15" hidden="1" outlineLevel="1" x14ac:dyDescent="0.35">
      <c r="A387" s="37" t="s">
        <v>672</v>
      </c>
      <c r="B387" s="62" t="s">
        <v>673</v>
      </c>
      <c r="C387" s="54" t="s">
        <v>928</v>
      </c>
      <c r="D387" s="84">
        <f>('R2023'!D387+'R2022'!D387+'R2021'!D387)/3</f>
        <v>0</v>
      </c>
      <c r="E387" s="84">
        <f>('R2023'!E387+'R2022'!E387+'R2021'!E387)/3</f>
        <v>0</v>
      </c>
      <c r="F387" s="84">
        <f>('R2023'!F387+'R2022'!F387+'R2021'!F387)/3</f>
        <v>0</v>
      </c>
      <c r="G387" s="84">
        <f>('R2023'!G387+'R2022'!G387+'R2021'!G387)/3</f>
        <v>111633.66666666667</v>
      </c>
      <c r="H387" s="84">
        <f>('R2023'!H387+'R2022'!H387+'R2021'!H387)/3</f>
        <v>0</v>
      </c>
      <c r="I387" s="84">
        <f>('R2023'!I387+'R2022'!I387+'R2021'!I387)/3</f>
        <v>0</v>
      </c>
      <c r="J387" s="71"/>
      <c r="K387" s="84">
        <f t="shared" si="14"/>
        <v>0</v>
      </c>
      <c r="L387" s="67">
        <f t="shared" si="15"/>
        <v>111633.66666666667</v>
      </c>
    </row>
    <row r="388" spans="1:15" hidden="1" outlineLevel="1" x14ac:dyDescent="0.35">
      <c r="A388" s="37" t="s">
        <v>674</v>
      </c>
      <c r="B388" s="62" t="s">
        <v>46</v>
      </c>
      <c r="C388" s="54" t="s">
        <v>928</v>
      </c>
      <c r="D388" s="84">
        <f>('R2023'!D388+'R2022'!D388+'R2021'!D388)/3</f>
        <v>0</v>
      </c>
      <c r="E388" s="84">
        <f>('R2023'!E388+'R2022'!E388+'R2021'!E388)/3</f>
        <v>0</v>
      </c>
      <c r="F388" s="84">
        <f>('R2023'!F388+'R2022'!F388+'R2021'!F388)/3</f>
        <v>0</v>
      </c>
      <c r="G388" s="84">
        <f>('R2023'!G388+'R2022'!G388+'R2021'!G388)/3</f>
        <v>0</v>
      </c>
      <c r="H388" s="84">
        <f>('R2023'!H388+'R2022'!H388+'R2021'!H388)/3</f>
        <v>0</v>
      </c>
      <c r="I388" s="84">
        <f>('R2023'!I388+'R2022'!I388+'R2021'!I388)/3</f>
        <v>0</v>
      </c>
      <c r="J388" s="71"/>
      <c r="K388" s="84">
        <f t="shared" si="14"/>
        <v>0</v>
      </c>
      <c r="L388" s="67">
        <f t="shared" si="15"/>
        <v>0</v>
      </c>
    </row>
    <row r="389" spans="1:15" hidden="1" outlineLevel="1" x14ac:dyDescent="0.35">
      <c r="A389" s="37" t="s">
        <v>675</v>
      </c>
      <c r="B389" s="62" t="s">
        <v>676</v>
      </c>
      <c r="C389" s="54" t="s">
        <v>928</v>
      </c>
      <c r="D389" s="84">
        <f>('R2023'!D389+'R2022'!D389+'R2021'!D389)/3</f>
        <v>0</v>
      </c>
      <c r="E389" s="84">
        <f>('R2023'!E389+'R2022'!E389+'R2021'!E389)/3</f>
        <v>0</v>
      </c>
      <c r="F389" s="84">
        <f>('R2023'!F389+'R2022'!F389+'R2021'!F389)/3</f>
        <v>60999</v>
      </c>
      <c r="G389" s="84">
        <f>('R2023'!G389+'R2022'!G389+'R2021'!G389)/3</f>
        <v>65122.666666666664</v>
      </c>
      <c r="H389" s="84">
        <f>('R2023'!H389+'R2022'!H389+'R2021'!H389)/3</f>
        <v>62475.666666666664</v>
      </c>
      <c r="I389" s="84">
        <f>('R2023'!I389+'R2022'!I389+'R2021'!I389)/3</f>
        <v>0</v>
      </c>
      <c r="J389" s="71"/>
      <c r="K389" s="84">
        <f t="shared" si="14"/>
        <v>0</v>
      </c>
      <c r="L389" s="67">
        <f t="shared" si="15"/>
        <v>188597.33333333331</v>
      </c>
    </row>
    <row r="390" spans="1:15" hidden="1" outlineLevel="1" x14ac:dyDescent="0.35">
      <c r="A390" s="37" t="s">
        <v>677</v>
      </c>
      <c r="B390" s="62" t="s">
        <v>678</v>
      </c>
      <c r="C390" s="54" t="s">
        <v>928</v>
      </c>
      <c r="D390" s="84">
        <f>('R2023'!D390+'R2022'!D390+'R2021'!D390)/3</f>
        <v>0</v>
      </c>
      <c r="E390" s="84">
        <f>('R2023'!E390+'R2022'!E390+'R2021'!E390)/3</f>
        <v>0</v>
      </c>
      <c r="F390" s="84">
        <f>('R2023'!F390+'R2022'!F390+'R2021'!F390)/3</f>
        <v>0</v>
      </c>
      <c r="G390" s="84">
        <f>('R2023'!G390+'R2022'!G390+'R2021'!G390)/3</f>
        <v>0</v>
      </c>
      <c r="H390" s="84">
        <f>('R2023'!H390+'R2022'!H390+'R2021'!H390)/3</f>
        <v>0</v>
      </c>
      <c r="I390" s="84">
        <f>('R2023'!I390+'R2022'!I390+'R2021'!I390)/3</f>
        <v>0</v>
      </c>
      <c r="J390" s="71"/>
      <c r="K390" s="84">
        <f t="shared" si="14"/>
        <v>0</v>
      </c>
      <c r="L390" s="67">
        <f t="shared" si="15"/>
        <v>0</v>
      </c>
    </row>
    <row r="391" spans="1:15" collapsed="1" x14ac:dyDescent="0.35">
      <c r="A391" s="37" t="s">
        <v>679</v>
      </c>
      <c r="B391" s="62" t="s">
        <v>680</v>
      </c>
      <c r="C391" s="54" t="s">
        <v>929</v>
      </c>
      <c r="D391" s="84">
        <f>('R2023'!D391+'R2022'!D391+'R2021'!D391)/3</f>
        <v>0</v>
      </c>
      <c r="E391" s="84">
        <f>('R2023'!E391+'R2022'!E391+'R2021'!E391)/3</f>
        <v>0</v>
      </c>
      <c r="F391" s="84">
        <f>('R2023'!F391+'R2022'!F391+'R2021'!F391)/3</f>
        <v>0</v>
      </c>
      <c r="G391" s="84">
        <f>('R2023'!G391+'R2022'!G391+'R2021'!G391)/3</f>
        <v>0</v>
      </c>
      <c r="H391" s="84">
        <f>('R2023'!H391+'R2022'!H391+'R2021'!H391)/3</f>
        <v>0</v>
      </c>
      <c r="I391" s="84">
        <f>('R2023'!I391+'R2022'!I391+'R2021'!I391)/3</f>
        <v>0</v>
      </c>
      <c r="J391" s="71"/>
      <c r="K391" s="84">
        <f t="shared" si="14"/>
        <v>0</v>
      </c>
      <c r="L391" s="67">
        <f t="shared" si="15"/>
        <v>0</v>
      </c>
      <c r="O391" s="180"/>
    </row>
    <row r="392" spans="1:15" s="24" customFormat="1" collapsed="1" x14ac:dyDescent="0.35">
      <c r="A392" s="48"/>
      <c r="B392" s="69" t="s">
        <v>930</v>
      </c>
      <c r="C392" s="79"/>
      <c r="D392" s="84">
        <f>('R2023'!D392+'R2022'!D392+'R2021'!D392)/3</f>
        <v>1454798.6666666667</v>
      </c>
      <c r="E392" s="84">
        <f>('R2023'!E392+'R2022'!E392+'R2021'!E392)/3</f>
        <v>521105</v>
      </c>
      <c r="F392" s="84">
        <f>('R2023'!F392+'R2022'!F392+'R2021'!F392)/3</f>
        <v>2474409.3333333335</v>
      </c>
      <c r="G392" s="84">
        <f>('R2023'!G392+'R2022'!G392+'R2021'!G392)/3</f>
        <v>2193014.3333333335</v>
      </c>
      <c r="H392" s="84">
        <f>('R2023'!H392+'R2022'!H392+'R2021'!H392)/3</f>
        <v>2571130.6666666665</v>
      </c>
      <c r="I392" s="84">
        <f>('R2023'!I392+'R2022'!I392+'R2021'!I392)/3</f>
        <v>179266.66666666666</v>
      </c>
      <c r="J392" s="71">
        <f>J471</f>
        <v>385180.66666666663</v>
      </c>
      <c r="K392" s="84">
        <f t="shared" si="14"/>
        <v>564447.33333333326</v>
      </c>
      <c r="L392" s="67">
        <f t="shared" si="15"/>
        <v>9778905.333333334</v>
      </c>
    </row>
    <row r="393" spans="1:15" hidden="1" outlineLevel="1" x14ac:dyDescent="0.35">
      <c r="A393" s="37" t="s">
        <v>681</v>
      </c>
      <c r="B393" s="62" t="s">
        <v>682</v>
      </c>
      <c r="C393" s="54" t="s">
        <v>930</v>
      </c>
      <c r="D393" s="84">
        <f>('R2023'!D393+'R2022'!D393+'R2021'!D393)/3</f>
        <v>0</v>
      </c>
      <c r="E393" s="84">
        <f>('R2023'!E393+'R2022'!E393+'R2021'!E393)/3</f>
        <v>0</v>
      </c>
      <c r="F393" s="84">
        <f>('R2023'!F393+'R2022'!F393+'R2021'!F393)/3</f>
        <v>0</v>
      </c>
      <c r="G393" s="84">
        <f>('R2023'!G393+'R2022'!G393+'R2021'!G393)/3</f>
        <v>3774</v>
      </c>
      <c r="H393" s="84">
        <f>('R2023'!H393+'R2022'!H393+'R2021'!H393)/3</f>
        <v>0</v>
      </c>
      <c r="I393" s="84">
        <f>('R2023'!I393+'R2022'!I393+'R2021'!I393)/3</f>
        <v>0</v>
      </c>
      <c r="J393" s="71"/>
      <c r="K393" s="84">
        <f t="shared" si="14"/>
        <v>0</v>
      </c>
      <c r="L393" s="67">
        <f t="shared" si="15"/>
        <v>3774</v>
      </c>
    </row>
    <row r="394" spans="1:15" hidden="1" outlineLevel="1" x14ac:dyDescent="0.35">
      <c r="A394" s="37" t="s">
        <v>683</v>
      </c>
      <c r="B394" s="62" t="s">
        <v>684</v>
      </c>
      <c r="C394" s="54" t="s">
        <v>930</v>
      </c>
      <c r="D394" s="84">
        <f>('R2023'!D394+'R2022'!D394+'R2021'!D394)/3</f>
        <v>0</v>
      </c>
      <c r="E394" s="84">
        <f>('R2023'!E394+'R2022'!E394+'R2021'!E394)/3</f>
        <v>0</v>
      </c>
      <c r="F394" s="84">
        <f>('R2023'!F394+'R2022'!F394+'R2021'!F394)/3</f>
        <v>0</v>
      </c>
      <c r="G394" s="84">
        <f>('R2023'!G394+'R2022'!G394+'R2021'!G394)/3</f>
        <v>0</v>
      </c>
      <c r="H394" s="84">
        <f>('R2023'!H394+'R2022'!H394+'R2021'!H394)/3</f>
        <v>0</v>
      </c>
      <c r="I394" s="84">
        <f>('R2023'!I394+'R2022'!I394+'R2021'!I394)/3</f>
        <v>0</v>
      </c>
      <c r="J394" s="71"/>
      <c r="K394" s="84">
        <f t="shared" si="14"/>
        <v>0</v>
      </c>
      <c r="L394" s="67">
        <f t="shared" si="15"/>
        <v>0</v>
      </c>
    </row>
    <row r="395" spans="1:15" hidden="1" outlineLevel="1" x14ac:dyDescent="0.35">
      <c r="A395" s="37" t="s">
        <v>685</v>
      </c>
      <c r="B395" s="62" t="s">
        <v>686</v>
      </c>
      <c r="C395" s="54" t="s">
        <v>930</v>
      </c>
      <c r="D395" s="84">
        <f>('R2023'!D395+'R2022'!D395+'R2021'!D395)/3</f>
        <v>0</v>
      </c>
      <c r="E395" s="84">
        <f>('R2023'!E395+'R2022'!E395+'R2021'!E395)/3</f>
        <v>0</v>
      </c>
      <c r="F395" s="84">
        <f>('R2023'!F395+'R2022'!F395+'R2021'!F395)/3</f>
        <v>0</v>
      </c>
      <c r="G395" s="84">
        <f>('R2023'!G395+'R2022'!G395+'R2021'!G395)/3</f>
        <v>0</v>
      </c>
      <c r="H395" s="84">
        <f>('R2023'!H395+'R2022'!H395+'R2021'!H395)/3</f>
        <v>0</v>
      </c>
      <c r="I395" s="84">
        <f>('R2023'!I395+'R2022'!I395+'R2021'!I395)/3</f>
        <v>0</v>
      </c>
      <c r="J395" s="71"/>
      <c r="K395" s="84">
        <f t="shared" ref="K395:K458" si="16">J395+I395</f>
        <v>0</v>
      </c>
      <c r="L395" s="67">
        <f t="shared" ref="L395:L458" si="17">K395+D395+E395+F395+G395+H395</f>
        <v>0</v>
      </c>
    </row>
    <row r="396" spans="1:15" hidden="1" outlineLevel="1" x14ac:dyDescent="0.35">
      <c r="A396" s="37" t="s">
        <v>687</v>
      </c>
      <c r="B396" s="62" t="s">
        <v>688</v>
      </c>
      <c r="C396" s="54" t="s">
        <v>930</v>
      </c>
      <c r="D396" s="84">
        <f>('R2023'!D396+'R2022'!D396+'R2021'!D396)/3</f>
        <v>0</v>
      </c>
      <c r="E396" s="84">
        <f>('R2023'!E396+'R2022'!E396+'R2021'!E396)/3</f>
        <v>0</v>
      </c>
      <c r="F396" s="84">
        <f>('R2023'!F396+'R2022'!F396+'R2021'!F396)/3</f>
        <v>0</v>
      </c>
      <c r="G396" s="84">
        <f>('R2023'!G396+'R2022'!G396+'R2021'!G396)/3</f>
        <v>0</v>
      </c>
      <c r="H396" s="84">
        <f>('R2023'!H396+'R2022'!H396+'R2021'!H396)/3</f>
        <v>0</v>
      </c>
      <c r="I396" s="84">
        <f>('R2023'!I396+'R2022'!I396+'R2021'!I396)/3</f>
        <v>0</v>
      </c>
      <c r="J396" s="71"/>
      <c r="K396" s="84">
        <f t="shared" si="16"/>
        <v>0</v>
      </c>
      <c r="L396" s="67">
        <f t="shared" si="17"/>
        <v>0</v>
      </c>
    </row>
    <row r="397" spans="1:15" hidden="1" outlineLevel="1" x14ac:dyDescent="0.35">
      <c r="A397" s="37" t="s">
        <v>689</v>
      </c>
      <c r="B397" s="62" t="s">
        <v>690</v>
      </c>
      <c r="C397" s="54" t="s">
        <v>930</v>
      </c>
      <c r="D397" s="84">
        <f>('R2023'!D397+'R2022'!D397+'R2021'!D397)/3</f>
        <v>0</v>
      </c>
      <c r="E397" s="84">
        <f>('R2023'!E397+'R2022'!E397+'R2021'!E397)/3</f>
        <v>0</v>
      </c>
      <c r="F397" s="84">
        <f>('R2023'!F397+'R2022'!F397+'R2021'!F397)/3</f>
        <v>0</v>
      </c>
      <c r="G397" s="84">
        <f>('R2023'!G397+'R2022'!G397+'R2021'!G397)/3</f>
        <v>0</v>
      </c>
      <c r="H397" s="84">
        <f>('R2023'!H397+'R2022'!H397+'R2021'!H397)/3</f>
        <v>10200</v>
      </c>
      <c r="I397" s="84">
        <f>('R2023'!I397+'R2022'!I397+'R2021'!I397)/3</f>
        <v>0</v>
      </c>
      <c r="J397" s="71"/>
      <c r="K397" s="84">
        <f t="shared" si="16"/>
        <v>0</v>
      </c>
      <c r="L397" s="67">
        <f t="shared" si="17"/>
        <v>10200</v>
      </c>
    </row>
    <row r="398" spans="1:15" hidden="1" outlineLevel="1" x14ac:dyDescent="0.35">
      <c r="A398" s="37" t="s">
        <v>691</v>
      </c>
      <c r="B398" s="62" t="s">
        <v>692</v>
      </c>
      <c r="C398" s="54" t="s">
        <v>930</v>
      </c>
      <c r="D398" s="84">
        <f>('R2023'!D398+'R2022'!D398+'R2021'!D398)/3</f>
        <v>0</v>
      </c>
      <c r="E398" s="84">
        <f>('R2023'!E398+'R2022'!E398+'R2021'!E398)/3</f>
        <v>0</v>
      </c>
      <c r="F398" s="84">
        <f>('R2023'!F398+'R2022'!F398+'R2021'!F398)/3</f>
        <v>219081</v>
      </c>
      <c r="G398" s="84">
        <f>('R2023'!G398+'R2022'!G398+'R2021'!G398)/3</f>
        <v>66578.333333333328</v>
      </c>
      <c r="H398" s="84">
        <f>('R2023'!H398+'R2022'!H398+'R2021'!H398)/3</f>
        <v>99521.333333333328</v>
      </c>
      <c r="I398" s="84">
        <f>('R2023'!I398+'R2022'!I398+'R2021'!I398)/3</f>
        <v>25060.333333333332</v>
      </c>
      <c r="J398" s="71"/>
      <c r="K398" s="84">
        <f t="shared" si="16"/>
        <v>25060.333333333332</v>
      </c>
      <c r="L398" s="67">
        <f t="shared" si="17"/>
        <v>410241</v>
      </c>
    </row>
    <row r="399" spans="1:15" hidden="1" outlineLevel="1" x14ac:dyDescent="0.35">
      <c r="A399" s="37" t="s">
        <v>693</v>
      </c>
      <c r="B399" s="62" t="s">
        <v>694</v>
      </c>
      <c r="C399" s="54" t="s">
        <v>930</v>
      </c>
      <c r="D399" s="84">
        <f>('R2023'!D399+'R2022'!D399+'R2021'!D399)/3</f>
        <v>0</v>
      </c>
      <c r="E399" s="84">
        <f>('R2023'!E399+'R2022'!E399+'R2021'!E399)/3</f>
        <v>0</v>
      </c>
      <c r="F399" s="84">
        <f>('R2023'!F399+'R2022'!F399+'R2021'!F399)/3</f>
        <v>16495.333333333332</v>
      </c>
      <c r="G399" s="84">
        <f>('R2023'!G399+'R2022'!G399+'R2021'!G399)/3</f>
        <v>5834</v>
      </c>
      <c r="H399" s="84">
        <f>('R2023'!H399+'R2022'!H399+'R2021'!H399)/3</f>
        <v>7053.666666666667</v>
      </c>
      <c r="I399" s="84">
        <f>('R2023'!I399+'R2022'!I399+'R2021'!I399)/3</f>
        <v>0</v>
      </c>
      <c r="J399" s="71"/>
      <c r="K399" s="84">
        <f t="shared" si="16"/>
        <v>0</v>
      </c>
      <c r="L399" s="67">
        <f t="shared" si="17"/>
        <v>29383</v>
      </c>
    </row>
    <row r="400" spans="1:15" hidden="1" outlineLevel="1" x14ac:dyDescent="0.35">
      <c r="A400" s="37" t="s">
        <v>695</v>
      </c>
      <c r="B400" s="62" t="s">
        <v>696</v>
      </c>
      <c r="C400" s="54" t="s">
        <v>930</v>
      </c>
      <c r="D400" s="84">
        <f>('R2023'!D400+'R2022'!D400+'R2021'!D400)/3</f>
        <v>6556.333333333333</v>
      </c>
      <c r="E400" s="84">
        <f>('R2023'!E400+'R2022'!E400+'R2021'!E400)/3</f>
        <v>13208</v>
      </c>
      <c r="F400" s="84">
        <f>('R2023'!F400+'R2022'!F400+'R2021'!F400)/3</f>
        <v>0</v>
      </c>
      <c r="G400" s="84">
        <f>('R2023'!G400+'R2022'!G400+'R2021'!G400)/3</f>
        <v>7808</v>
      </c>
      <c r="H400" s="84">
        <f>('R2023'!H400+'R2022'!H400+'R2021'!H400)/3</f>
        <v>0</v>
      </c>
      <c r="I400" s="84">
        <f>('R2023'!I400+'R2022'!I400+'R2021'!I400)/3</f>
        <v>0</v>
      </c>
      <c r="J400" s="71"/>
      <c r="K400" s="84">
        <f t="shared" si="16"/>
        <v>0</v>
      </c>
      <c r="L400" s="67">
        <f t="shared" si="17"/>
        <v>27572.333333333332</v>
      </c>
    </row>
    <row r="401" spans="1:12" hidden="1" outlineLevel="1" x14ac:dyDescent="0.35">
      <c r="A401" s="37" t="s">
        <v>697</v>
      </c>
      <c r="B401" s="62" t="s">
        <v>698</v>
      </c>
      <c r="C401" s="54" t="s">
        <v>930</v>
      </c>
      <c r="D401" s="84">
        <f>('R2023'!D401+'R2022'!D401+'R2021'!D401)/3</f>
        <v>17126.666666666668</v>
      </c>
      <c r="E401" s="84">
        <f>('R2023'!E401+'R2022'!E401+'R2021'!E401)/3</f>
        <v>33575.666666666664</v>
      </c>
      <c r="F401" s="84">
        <f>('R2023'!F401+'R2022'!F401+'R2021'!F401)/3</f>
        <v>42888.666666666664</v>
      </c>
      <c r="G401" s="84">
        <f>('R2023'!G401+'R2022'!G401+'R2021'!G401)/3</f>
        <v>91918.666666666672</v>
      </c>
      <c r="H401" s="84">
        <f>('R2023'!H401+'R2022'!H401+'R2021'!H401)/3</f>
        <v>86265</v>
      </c>
      <c r="I401" s="84">
        <f>('R2023'!I401+'R2022'!I401+'R2021'!I401)/3</f>
        <v>0</v>
      </c>
      <c r="J401" s="71"/>
      <c r="K401" s="84">
        <f t="shared" si="16"/>
        <v>0</v>
      </c>
      <c r="L401" s="67">
        <f t="shared" si="17"/>
        <v>271774.66666666669</v>
      </c>
    </row>
    <row r="402" spans="1:12" hidden="1" outlineLevel="1" x14ac:dyDescent="0.35">
      <c r="A402" s="37" t="s">
        <v>699</v>
      </c>
      <c r="B402" s="62" t="s">
        <v>700</v>
      </c>
      <c r="C402" s="54" t="s">
        <v>930</v>
      </c>
      <c r="D402" s="84" t="e">
        <f>('R2023'!D402+'R2022'!D402+'R2021'!D402)/3</f>
        <v>#VALUE!</v>
      </c>
      <c r="E402" s="84">
        <f>('R2023'!E402+'R2022'!E402+'R2021'!E402)/3</f>
        <v>0</v>
      </c>
      <c r="F402" s="84">
        <f>('R2023'!F402+'R2022'!F402+'R2021'!F402)/3</f>
        <v>0</v>
      </c>
      <c r="G402" s="84">
        <f>('R2023'!G402+'R2022'!G402+'R2021'!G402)/3</f>
        <v>977</v>
      </c>
      <c r="H402" s="84">
        <f>('R2023'!H402+'R2022'!H402+'R2021'!H402)/3</f>
        <v>36304.666666666664</v>
      </c>
      <c r="I402" s="84">
        <f>('R2023'!I402+'R2022'!I402+'R2021'!I402)/3</f>
        <v>0</v>
      </c>
      <c r="J402" s="71"/>
      <c r="K402" s="84">
        <f t="shared" si="16"/>
        <v>0</v>
      </c>
      <c r="L402" s="67" t="e">
        <f t="shared" si="17"/>
        <v>#VALUE!</v>
      </c>
    </row>
    <row r="403" spans="1:12" hidden="1" outlineLevel="1" x14ac:dyDescent="0.35">
      <c r="A403" s="37" t="s">
        <v>701</v>
      </c>
      <c r="B403" s="62" t="s">
        <v>702</v>
      </c>
      <c r="C403" s="54" t="s">
        <v>930</v>
      </c>
      <c r="D403" s="84">
        <f>('R2023'!D403+'R2022'!D403+'R2021'!D403)/3</f>
        <v>0</v>
      </c>
      <c r="E403" s="84">
        <f>('R2023'!E403+'R2022'!E403+'R2021'!E403)/3</f>
        <v>0</v>
      </c>
      <c r="F403" s="84">
        <f>('R2023'!F403+'R2022'!F403+'R2021'!F403)/3</f>
        <v>0</v>
      </c>
      <c r="G403" s="84">
        <f>('R2023'!G403+'R2022'!G403+'R2021'!G403)/3</f>
        <v>1603.6666666666667</v>
      </c>
      <c r="H403" s="84">
        <f>('R2023'!H403+'R2022'!H403+'R2021'!H403)/3</f>
        <v>0</v>
      </c>
      <c r="I403" s="84">
        <f>('R2023'!I403+'R2022'!I403+'R2021'!I403)/3</f>
        <v>0</v>
      </c>
      <c r="J403" s="71"/>
      <c r="K403" s="84">
        <f t="shared" si="16"/>
        <v>0</v>
      </c>
      <c r="L403" s="67">
        <f t="shared" si="17"/>
        <v>1603.6666666666667</v>
      </c>
    </row>
    <row r="404" spans="1:12" hidden="1" outlineLevel="1" x14ac:dyDescent="0.35">
      <c r="A404" s="37" t="s">
        <v>703</v>
      </c>
      <c r="B404" s="62" t="s">
        <v>704</v>
      </c>
      <c r="C404" s="54" t="s">
        <v>930</v>
      </c>
      <c r="D404" s="84">
        <f>('R2023'!D404+'R2022'!D404+'R2021'!D404)/3</f>
        <v>0</v>
      </c>
      <c r="E404" s="84">
        <f>('R2023'!E404+'R2022'!E404+'R2021'!E404)/3</f>
        <v>0</v>
      </c>
      <c r="F404" s="84">
        <f>('R2023'!F404+'R2022'!F404+'R2021'!F404)/3</f>
        <v>5339.666666666667</v>
      </c>
      <c r="G404" s="84">
        <f>('R2023'!G404+'R2022'!G404+'R2021'!G404)/3</f>
        <v>0</v>
      </c>
      <c r="H404" s="84">
        <f>('R2023'!H404+'R2022'!H404+'R2021'!H404)/3</f>
        <v>0</v>
      </c>
      <c r="I404" s="84">
        <f>('R2023'!I404+'R2022'!I404+'R2021'!I404)/3</f>
        <v>0</v>
      </c>
      <c r="J404" s="71"/>
      <c r="K404" s="84">
        <f t="shared" si="16"/>
        <v>0</v>
      </c>
      <c r="L404" s="67">
        <f t="shared" si="17"/>
        <v>5339.666666666667</v>
      </c>
    </row>
    <row r="405" spans="1:12" hidden="1" outlineLevel="1" x14ac:dyDescent="0.35">
      <c r="A405" s="37" t="s">
        <v>705</v>
      </c>
      <c r="B405" s="62" t="s">
        <v>706</v>
      </c>
      <c r="C405" s="54" t="s">
        <v>930</v>
      </c>
      <c r="D405" s="84">
        <f>('R2023'!D405+'R2022'!D405+'R2021'!D405)/3</f>
        <v>0</v>
      </c>
      <c r="E405" s="84">
        <f>('R2023'!E405+'R2022'!E405+'R2021'!E405)/3</f>
        <v>0</v>
      </c>
      <c r="F405" s="84">
        <f>('R2023'!F405+'R2022'!F405+'R2021'!F405)/3</f>
        <v>0</v>
      </c>
      <c r="G405" s="84">
        <f>('R2023'!G405+'R2022'!G405+'R2021'!G405)/3</f>
        <v>391273</v>
      </c>
      <c r="H405" s="84">
        <f>('R2023'!H405+'R2022'!H405+'R2021'!H405)/3</f>
        <v>0</v>
      </c>
      <c r="I405" s="84">
        <f>('R2023'!I405+'R2022'!I405+'R2021'!I405)/3</f>
        <v>0</v>
      </c>
      <c r="J405" s="71"/>
      <c r="K405" s="84">
        <f t="shared" si="16"/>
        <v>0</v>
      </c>
      <c r="L405" s="67">
        <f t="shared" si="17"/>
        <v>391273</v>
      </c>
    </row>
    <row r="406" spans="1:12" hidden="1" outlineLevel="1" x14ac:dyDescent="0.35">
      <c r="A406" s="37" t="s">
        <v>707</v>
      </c>
      <c r="B406" s="62" t="s">
        <v>708</v>
      </c>
      <c r="C406" s="54" t="s">
        <v>930</v>
      </c>
      <c r="D406" s="84">
        <f>('R2023'!D406+'R2022'!D406+'R2021'!D406)/3</f>
        <v>0</v>
      </c>
      <c r="E406" s="84">
        <f>('R2023'!E406+'R2022'!E406+'R2021'!E406)/3</f>
        <v>0</v>
      </c>
      <c r="F406" s="84">
        <f>('R2023'!F406+'R2022'!F406+'R2021'!F406)/3</f>
        <v>0</v>
      </c>
      <c r="G406" s="84">
        <f>('R2023'!G406+'R2022'!G406+'R2021'!G406)/3</f>
        <v>699.66666666666663</v>
      </c>
      <c r="H406" s="84">
        <f>('R2023'!H406+'R2022'!H406+'R2021'!H406)/3</f>
        <v>0</v>
      </c>
      <c r="I406" s="84">
        <f>('R2023'!I406+'R2022'!I406+'R2021'!I406)/3</f>
        <v>0</v>
      </c>
      <c r="J406" s="71"/>
      <c r="K406" s="84">
        <f t="shared" si="16"/>
        <v>0</v>
      </c>
      <c r="L406" s="67">
        <f t="shared" si="17"/>
        <v>699.66666666666663</v>
      </c>
    </row>
    <row r="407" spans="1:12" hidden="1" outlineLevel="1" x14ac:dyDescent="0.35">
      <c r="A407" s="37" t="s">
        <v>709</v>
      </c>
      <c r="B407" s="62" t="s">
        <v>710</v>
      </c>
      <c r="C407" s="54" t="s">
        <v>930</v>
      </c>
      <c r="D407" s="84">
        <f>('R2023'!D407+'R2022'!D407+'R2021'!D407)/3</f>
        <v>0</v>
      </c>
      <c r="E407" s="84">
        <f>('R2023'!E407+'R2022'!E407+'R2021'!E407)/3</f>
        <v>0</v>
      </c>
      <c r="F407" s="84">
        <f>('R2023'!F407+'R2022'!F407+'R2021'!F407)/3</f>
        <v>0</v>
      </c>
      <c r="G407" s="84">
        <f>('R2023'!G407+'R2022'!G407+'R2021'!G407)/3</f>
        <v>0</v>
      </c>
      <c r="H407" s="84">
        <f>('R2023'!H407+'R2022'!H407+'R2021'!H407)/3</f>
        <v>0</v>
      </c>
      <c r="I407" s="84">
        <f>('R2023'!I407+'R2022'!I407+'R2021'!I407)/3</f>
        <v>0</v>
      </c>
      <c r="J407" s="71"/>
      <c r="K407" s="84">
        <f t="shared" si="16"/>
        <v>0</v>
      </c>
      <c r="L407" s="67">
        <f t="shared" si="17"/>
        <v>0</v>
      </c>
    </row>
    <row r="408" spans="1:12" hidden="1" outlineLevel="1" x14ac:dyDescent="0.35">
      <c r="A408" s="37" t="s">
        <v>711</v>
      </c>
      <c r="B408" s="62" t="s">
        <v>712</v>
      </c>
      <c r="C408" s="54" t="s">
        <v>930</v>
      </c>
      <c r="D408" s="84">
        <f>('R2023'!D408+'R2022'!D408+'R2021'!D408)/3</f>
        <v>0</v>
      </c>
      <c r="E408" s="84">
        <f>('R2023'!E408+'R2022'!E408+'R2021'!E408)/3</f>
        <v>0</v>
      </c>
      <c r="F408" s="84">
        <f>('R2023'!F408+'R2022'!F408+'R2021'!F408)/3</f>
        <v>0</v>
      </c>
      <c r="G408" s="84">
        <f>('R2023'!G408+'R2022'!G408+'R2021'!G408)/3</f>
        <v>5309.333333333333</v>
      </c>
      <c r="H408" s="84">
        <f>('R2023'!H408+'R2022'!H408+'R2021'!H408)/3</f>
        <v>86530</v>
      </c>
      <c r="I408" s="84">
        <f>('R2023'!I408+'R2022'!I408+'R2021'!I408)/3</f>
        <v>855</v>
      </c>
      <c r="J408" s="71"/>
      <c r="K408" s="84">
        <f t="shared" si="16"/>
        <v>855</v>
      </c>
      <c r="L408" s="67">
        <f t="shared" si="17"/>
        <v>92694.333333333328</v>
      </c>
    </row>
    <row r="409" spans="1:12" hidden="1" outlineLevel="1" x14ac:dyDescent="0.35">
      <c r="A409" s="37" t="s">
        <v>713</v>
      </c>
      <c r="B409" s="62" t="s">
        <v>714</v>
      </c>
      <c r="C409" s="54" t="s">
        <v>930</v>
      </c>
      <c r="D409" s="84">
        <f>('R2023'!D409+'R2022'!D409+'R2021'!D409)/3</f>
        <v>0</v>
      </c>
      <c r="E409" s="84">
        <f>('R2023'!E409+'R2022'!E409+'R2021'!E409)/3</f>
        <v>0</v>
      </c>
      <c r="F409" s="84">
        <f>('R2023'!F409+'R2022'!F409+'R2021'!F409)/3</f>
        <v>0</v>
      </c>
      <c r="G409" s="84">
        <f>('R2023'!G409+'R2022'!G409+'R2021'!G409)/3</f>
        <v>14386.666666666666</v>
      </c>
      <c r="H409" s="84">
        <f>('R2023'!H409+'R2022'!H409+'R2021'!H409)/3</f>
        <v>0</v>
      </c>
      <c r="I409" s="84">
        <f>('R2023'!I409+'R2022'!I409+'R2021'!I409)/3</f>
        <v>0</v>
      </c>
      <c r="J409" s="71"/>
      <c r="K409" s="84">
        <f t="shared" si="16"/>
        <v>0</v>
      </c>
      <c r="L409" s="67">
        <f t="shared" si="17"/>
        <v>14386.666666666666</v>
      </c>
    </row>
    <row r="410" spans="1:12" hidden="1" outlineLevel="1" x14ac:dyDescent="0.35">
      <c r="A410" s="37" t="s">
        <v>715</v>
      </c>
      <c r="B410" s="62" t="s">
        <v>716</v>
      </c>
      <c r="C410" s="54" t="s">
        <v>930</v>
      </c>
      <c r="D410" s="84">
        <f>('R2023'!D410+'R2022'!D410+'R2021'!D410)/3</f>
        <v>0</v>
      </c>
      <c r="E410" s="84">
        <f>('R2023'!E410+'R2022'!E410+'R2021'!E410)/3</f>
        <v>0</v>
      </c>
      <c r="F410" s="84">
        <f>('R2023'!F410+'R2022'!F410+'R2021'!F410)/3</f>
        <v>0</v>
      </c>
      <c r="G410" s="84">
        <f>('R2023'!G410+'R2022'!G410+'R2021'!G410)/3</f>
        <v>0</v>
      </c>
      <c r="H410" s="84">
        <f>('R2023'!H410+'R2022'!H410+'R2021'!H410)/3</f>
        <v>0</v>
      </c>
      <c r="I410" s="84">
        <f>('R2023'!I410+'R2022'!I410+'R2021'!I410)/3</f>
        <v>12496.333333333334</v>
      </c>
      <c r="J410" s="71"/>
      <c r="K410" s="84">
        <f t="shared" si="16"/>
        <v>12496.333333333334</v>
      </c>
      <c r="L410" s="67">
        <f t="shared" si="17"/>
        <v>12496.333333333334</v>
      </c>
    </row>
    <row r="411" spans="1:12" hidden="1" outlineLevel="1" x14ac:dyDescent="0.35">
      <c r="A411" s="37" t="s">
        <v>717</v>
      </c>
      <c r="B411" s="62" t="s">
        <v>718</v>
      </c>
      <c r="C411" s="54" t="s">
        <v>930</v>
      </c>
      <c r="D411" s="84">
        <f>('R2023'!D411+'R2022'!D411+'R2021'!D411)/3</f>
        <v>0</v>
      </c>
      <c r="E411" s="84">
        <f>('R2023'!E411+'R2022'!E411+'R2021'!E411)/3</f>
        <v>0</v>
      </c>
      <c r="F411" s="84">
        <f>('R2023'!F411+'R2022'!F411+'R2021'!F411)/3</f>
        <v>0</v>
      </c>
      <c r="G411" s="84">
        <f>('R2023'!G411+'R2022'!G411+'R2021'!G411)/3</f>
        <v>0</v>
      </c>
      <c r="H411" s="84">
        <f>('R2023'!H411+'R2022'!H411+'R2021'!H411)/3</f>
        <v>0</v>
      </c>
      <c r="I411" s="84">
        <f>('R2023'!I411+'R2022'!I411+'R2021'!I411)/3</f>
        <v>0</v>
      </c>
      <c r="J411" s="71"/>
      <c r="K411" s="84">
        <f t="shared" si="16"/>
        <v>0</v>
      </c>
      <c r="L411" s="67">
        <f t="shared" si="17"/>
        <v>0</v>
      </c>
    </row>
    <row r="412" spans="1:12" hidden="1" outlineLevel="1" x14ac:dyDescent="0.35">
      <c r="A412" s="37" t="s">
        <v>719</v>
      </c>
      <c r="B412" s="62" t="s">
        <v>720</v>
      </c>
      <c r="C412" s="54" t="s">
        <v>930</v>
      </c>
      <c r="D412" s="84">
        <f>('R2023'!D412+'R2022'!D412+'R2021'!D412)/3</f>
        <v>67534.333333333328</v>
      </c>
      <c r="E412" s="84">
        <f>('R2023'!E412+'R2022'!E412+'R2021'!E412)/3</f>
        <v>18217</v>
      </c>
      <c r="F412" s="84">
        <f>('R2023'!F412+'R2022'!F412+'R2021'!F412)/3</f>
        <v>0</v>
      </c>
      <c r="G412" s="84">
        <f>('R2023'!G412+'R2022'!G412+'R2021'!G412)/3</f>
        <v>47683.333333333336</v>
      </c>
      <c r="H412" s="84">
        <f>('R2023'!H412+'R2022'!H412+'R2021'!H412)/3</f>
        <v>26303.333333333332</v>
      </c>
      <c r="I412" s="84">
        <f>('R2023'!I412+'R2022'!I412+'R2021'!I412)/3</f>
        <v>0</v>
      </c>
      <c r="J412" s="71"/>
      <c r="K412" s="84">
        <f t="shared" si="16"/>
        <v>0</v>
      </c>
      <c r="L412" s="67">
        <f t="shared" si="17"/>
        <v>159738</v>
      </c>
    </row>
    <row r="413" spans="1:12" hidden="1" outlineLevel="1" x14ac:dyDescent="0.35">
      <c r="A413" s="37" t="s">
        <v>721</v>
      </c>
      <c r="B413" s="62" t="s">
        <v>722</v>
      </c>
      <c r="C413" s="54" t="s">
        <v>930</v>
      </c>
      <c r="D413" s="84">
        <f>('R2023'!D413+'R2022'!D413+'R2021'!D413)/3</f>
        <v>39350.666666666664</v>
      </c>
      <c r="E413" s="84">
        <f>('R2023'!E413+'R2022'!E413+'R2021'!E413)/3</f>
        <v>83596</v>
      </c>
      <c r="F413" s="84">
        <f>('R2023'!F413+'R2022'!F413+'R2021'!F413)/3</f>
        <v>129053.33333333333</v>
      </c>
      <c r="G413" s="84">
        <f>('R2023'!G413+'R2022'!G413+'R2021'!G413)/3</f>
        <v>215123.33333333334</v>
      </c>
      <c r="H413" s="84">
        <f>('R2023'!H413+'R2022'!H413+'R2021'!H413)/3</f>
        <v>272224</v>
      </c>
      <c r="I413" s="84">
        <f>('R2023'!I413+'R2022'!I413+'R2021'!I413)/3</f>
        <v>0</v>
      </c>
      <c r="J413" s="71"/>
      <c r="K413" s="84">
        <f t="shared" si="16"/>
        <v>0</v>
      </c>
      <c r="L413" s="67">
        <f t="shared" si="17"/>
        <v>739347.33333333337</v>
      </c>
    </row>
    <row r="414" spans="1:12" hidden="1" outlineLevel="1" x14ac:dyDescent="0.35">
      <c r="A414" s="37" t="s">
        <v>723</v>
      </c>
      <c r="B414" s="62" t="s">
        <v>724</v>
      </c>
      <c r="C414" s="54" t="s">
        <v>930</v>
      </c>
      <c r="D414" s="84">
        <f>('R2023'!D414+'R2022'!D414+'R2021'!D414)/3</f>
        <v>3368.3333333333335</v>
      </c>
      <c r="E414" s="84">
        <f>('R2023'!E414+'R2022'!E414+'R2021'!E414)/3</f>
        <v>164799</v>
      </c>
      <c r="F414" s="84">
        <f>('R2023'!F414+'R2022'!F414+'R2021'!F414)/3</f>
        <v>391473</v>
      </c>
      <c r="G414" s="84">
        <f>('R2023'!G414+'R2022'!G414+'R2021'!G414)/3</f>
        <v>128363</v>
      </c>
      <c r="H414" s="84">
        <f>('R2023'!H414+'R2022'!H414+'R2021'!H414)/3</f>
        <v>57575.666666666664</v>
      </c>
      <c r="I414" s="84">
        <f>('R2023'!I414+'R2022'!I414+'R2021'!I414)/3</f>
        <v>3050</v>
      </c>
      <c r="J414" s="71"/>
      <c r="K414" s="84">
        <f t="shared" si="16"/>
        <v>3050</v>
      </c>
      <c r="L414" s="67">
        <f t="shared" si="17"/>
        <v>748629</v>
      </c>
    </row>
    <row r="415" spans="1:12" hidden="1" outlineLevel="1" x14ac:dyDescent="0.35">
      <c r="A415" s="37" t="s">
        <v>725</v>
      </c>
      <c r="B415" s="62" t="s">
        <v>726</v>
      </c>
      <c r="C415" s="54" t="s">
        <v>930</v>
      </c>
      <c r="D415" s="84">
        <f>('R2023'!D415+'R2022'!D415+'R2021'!D415)/3</f>
        <v>0</v>
      </c>
      <c r="E415" s="84">
        <f>('R2023'!E415+'R2022'!E415+'R2021'!E415)/3</f>
        <v>0</v>
      </c>
      <c r="F415" s="84">
        <f>('R2023'!F415+'R2022'!F415+'R2021'!F415)/3</f>
        <v>0</v>
      </c>
      <c r="G415" s="84">
        <f>('R2023'!G415+'R2022'!G415+'R2021'!G415)/3</f>
        <v>8853</v>
      </c>
      <c r="H415" s="84">
        <f>('R2023'!H415+'R2022'!H415+'R2021'!H415)/3</f>
        <v>0</v>
      </c>
      <c r="I415" s="84">
        <f>('R2023'!I415+'R2022'!I415+'R2021'!I415)/3</f>
        <v>7160.333333333333</v>
      </c>
      <c r="J415" s="71"/>
      <c r="K415" s="84">
        <f t="shared" si="16"/>
        <v>7160.333333333333</v>
      </c>
      <c r="L415" s="67">
        <f t="shared" si="17"/>
        <v>16013.333333333332</v>
      </c>
    </row>
    <row r="416" spans="1:12" hidden="1" outlineLevel="1" x14ac:dyDescent="0.35">
      <c r="A416" s="37" t="s">
        <v>727</v>
      </c>
      <c r="B416" s="62" t="s">
        <v>728</v>
      </c>
      <c r="C416" s="54" t="s">
        <v>930</v>
      </c>
      <c r="D416" s="84">
        <f>('R2023'!D416+'R2022'!D416+'R2021'!D416)/3</f>
        <v>0</v>
      </c>
      <c r="E416" s="84">
        <f>('R2023'!E416+'R2022'!E416+'R2021'!E416)/3</f>
        <v>0</v>
      </c>
      <c r="F416" s="84">
        <f>('R2023'!F416+'R2022'!F416+'R2021'!F416)/3</f>
        <v>0</v>
      </c>
      <c r="G416" s="84">
        <f>('R2023'!G416+'R2022'!G416+'R2021'!G416)/3</f>
        <v>164.66666666666666</v>
      </c>
      <c r="H416" s="84">
        <f>('R2023'!H416+'R2022'!H416+'R2021'!H416)/3</f>
        <v>0</v>
      </c>
      <c r="I416" s="84">
        <f>('R2023'!I416+'R2022'!I416+'R2021'!I416)/3</f>
        <v>0</v>
      </c>
      <c r="J416" s="71"/>
      <c r="K416" s="84">
        <f t="shared" si="16"/>
        <v>0</v>
      </c>
      <c r="L416" s="67">
        <f t="shared" si="17"/>
        <v>164.66666666666666</v>
      </c>
    </row>
    <row r="417" spans="1:12" hidden="1" outlineLevel="1" x14ac:dyDescent="0.35">
      <c r="A417" s="37" t="s">
        <v>729</v>
      </c>
      <c r="B417" s="62" t="s">
        <v>730</v>
      </c>
      <c r="C417" s="54" t="s">
        <v>930</v>
      </c>
      <c r="D417" s="84">
        <f>('R2023'!D417+'R2022'!D417+'R2021'!D417)/3</f>
        <v>0</v>
      </c>
      <c r="E417" s="84">
        <f>('R2023'!E417+'R2022'!E417+'R2021'!E417)/3</f>
        <v>0</v>
      </c>
      <c r="F417" s="84">
        <f>('R2023'!F417+'R2022'!F417+'R2021'!F417)/3</f>
        <v>0</v>
      </c>
      <c r="G417" s="84">
        <f>('R2023'!G417+'R2022'!G417+'R2021'!G417)/3</f>
        <v>0</v>
      </c>
      <c r="H417" s="84">
        <f>('R2023'!H417+'R2022'!H417+'R2021'!H417)/3</f>
        <v>0</v>
      </c>
      <c r="I417" s="84">
        <f>('R2023'!I417+'R2022'!I417+'R2021'!I417)/3</f>
        <v>0</v>
      </c>
      <c r="J417" s="71"/>
      <c r="K417" s="84">
        <f t="shared" si="16"/>
        <v>0</v>
      </c>
      <c r="L417" s="67">
        <f t="shared" si="17"/>
        <v>0</v>
      </c>
    </row>
    <row r="418" spans="1:12" hidden="1" outlineLevel="1" x14ac:dyDescent="0.35">
      <c r="A418" s="37" t="s">
        <v>731</v>
      </c>
      <c r="B418" s="62" t="s">
        <v>732</v>
      </c>
      <c r="C418" s="54" t="s">
        <v>930</v>
      </c>
      <c r="D418" s="84">
        <f>('R2023'!D418+'R2022'!D418+'R2021'!D418)/3</f>
        <v>374.33333333333331</v>
      </c>
      <c r="E418" s="84">
        <f>('R2023'!E418+'R2022'!E418+'R2021'!E418)/3</f>
        <v>0</v>
      </c>
      <c r="F418" s="84">
        <f>('R2023'!F418+'R2022'!F418+'R2021'!F418)/3</f>
        <v>0</v>
      </c>
      <c r="G418" s="84">
        <f>('R2023'!G418+'R2022'!G418+'R2021'!G418)/3</f>
        <v>40576.333333333336</v>
      </c>
      <c r="H418" s="84">
        <f>('R2023'!H418+'R2022'!H418+'R2021'!H418)/3</f>
        <v>5327.333333333333</v>
      </c>
      <c r="I418" s="84">
        <f>('R2023'!I418+'R2022'!I418+'R2021'!I418)/3</f>
        <v>192.33333333333334</v>
      </c>
      <c r="J418" s="71"/>
      <c r="K418" s="84">
        <f t="shared" si="16"/>
        <v>192.33333333333334</v>
      </c>
      <c r="L418" s="67">
        <f t="shared" si="17"/>
        <v>46470.333333333336</v>
      </c>
    </row>
    <row r="419" spans="1:12" hidden="1" outlineLevel="1" x14ac:dyDescent="0.35">
      <c r="A419" s="37" t="s">
        <v>733</v>
      </c>
      <c r="B419" s="62" t="s">
        <v>734</v>
      </c>
      <c r="C419" s="54" t="s">
        <v>930</v>
      </c>
      <c r="D419" s="84">
        <f>('R2023'!D419+'R2022'!D419+'R2021'!D419)/3</f>
        <v>0</v>
      </c>
      <c r="E419" s="84">
        <f>('R2023'!E419+'R2022'!E419+'R2021'!E419)/3</f>
        <v>38861</v>
      </c>
      <c r="F419" s="84">
        <f>('R2023'!F419+'R2022'!F419+'R2021'!F419)/3</f>
        <v>0</v>
      </c>
      <c r="G419" s="84">
        <f>('R2023'!G419+'R2022'!G419+'R2021'!G419)/3</f>
        <v>50454.333333333336</v>
      </c>
      <c r="H419" s="84">
        <f>('R2023'!H419+'R2022'!H419+'R2021'!H419)/3</f>
        <v>0</v>
      </c>
      <c r="I419" s="84">
        <f>('R2023'!I419+'R2022'!I419+'R2021'!I419)/3</f>
        <v>0</v>
      </c>
      <c r="J419" s="71"/>
      <c r="K419" s="84">
        <f t="shared" si="16"/>
        <v>0</v>
      </c>
      <c r="L419" s="67">
        <f t="shared" si="17"/>
        <v>89315.333333333343</v>
      </c>
    </row>
    <row r="420" spans="1:12" hidden="1" outlineLevel="1" x14ac:dyDescent="0.35">
      <c r="A420" s="37" t="s">
        <v>735</v>
      </c>
      <c r="B420" s="62" t="s">
        <v>736</v>
      </c>
      <c r="C420" s="54" t="s">
        <v>930</v>
      </c>
      <c r="D420" s="84">
        <f>('R2023'!D420+'R2022'!D420+'R2021'!D420)/3</f>
        <v>1417.6666666666667</v>
      </c>
      <c r="E420" s="84">
        <f>('R2023'!E420+'R2022'!E420+'R2021'!E420)/3</f>
        <v>35453.333333333336</v>
      </c>
      <c r="F420" s="84">
        <f>('R2023'!F420+'R2022'!F420+'R2021'!F420)/3</f>
        <v>585865</v>
      </c>
      <c r="G420" s="84">
        <f>('R2023'!G420+'R2022'!G420+'R2021'!G420)/3</f>
        <v>420854.66666666669</v>
      </c>
      <c r="H420" s="84">
        <f>('R2023'!H420+'R2022'!H420+'R2021'!H420)/3</f>
        <v>405241.66666666669</v>
      </c>
      <c r="I420" s="84">
        <f>('R2023'!I420+'R2022'!I420+'R2021'!I420)/3</f>
        <v>0</v>
      </c>
      <c r="J420" s="71"/>
      <c r="K420" s="84">
        <f t="shared" si="16"/>
        <v>0</v>
      </c>
      <c r="L420" s="67">
        <f t="shared" si="17"/>
        <v>1448832.3333333335</v>
      </c>
    </row>
    <row r="421" spans="1:12" hidden="1" outlineLevel="1" x14ac:dyDescent="0.35">
      <c r="A421" s="37" t="s">
        <v>737</v>
      </c>
      <c r="B421" s="62" t="s">
        <v>738</v>
      </c>
      <c r="C421" s="54" t="s">
        <v>930</v>
      </c>
      <c r="D421" s="84">
        <f>('R2023'!D421+'R2022'!D421+'R2021'!D421)/3</f>
        <v>0</v>
      </c>
      <c r="E421" s="84">
        <f>('R2023'!E421+'R2022'!E421+'R2021'!E421)/3</f>
        <v>0</v>
      </c>
      <c r="F421" s="84">
        <f>('R2023'!F421+'R2022'!F421+'R2021'!F421)/3</f>
        <v>0</v>
      </c>
      <c r="G421" s="84">
        <f>('R2023'!G421+'R2022'!G421+'R2021'!G421)/3</f>
        <v>85847</v>
      </c>
      <c r="H421" s="84">
        <f>('R2023'!H421+'R2022'!H421+'R2021'!H421)/3</f>
        <v>0</v>
      </c>
      <c r="I421" s="84">
        <f>('R2023'!I421+'R2022'!I421+'R2021'!I421)/3</f>
        <v>0</v>
      </c>
      <c r="J421" s="71"/>
      <c r="K421" s="84">
        <f t="shared" si="16"/>
        <v>0</v>
      </c>
      <c r="L421" s="67">
        <f t="shared" si="17"/>
        <v>85847</v>
      </c>
    </row>
    <row r="422" spans="1:12" hidden="1" outlineLevel="1" x14ac:dyDescent="0.35">
      <c r="A422" s="37" t="s">
        <v>739</v>
      </c>
      <c r="B422" s="62" t="s">
        <v>740</v>
      </c>
      <c r="C422" s="54" t="s">
        <v>930</v>
      </c>
      <c r="D422" s="84">
        <f>('R2023'!D422+'R2022'!D422+'R2021'!D422)/3</f>
        <v>1262833</v>
      </c>
      <c r="E422" s="84">
        <f>('R2023'!E422+'R2022'!E422+'R2021'!E422)/3</f>
        <v>0</v>
      </c>
      <c r="F422" s="84">
        <f>('R2023'!F422+'R2022'!F422+'R2021'!F422)/3</f>
        <v>0</v>
      </c>
      <c r="G422" s="84">
        <f>('R2023'!G422+'R2022'!G422+'R2021'!G422)/3</f>
        <v>7855.666666666667</v>
      </c>
      <c r="H422" s="84">
        <f>('R2023'!H422+'R2022'!H422+'R2021'!H422)/3</f>
        <v>733548</v>
      </c>
      <c r="I422" s="84">
        <f>('R2023'!I422+'R2022'!I422+'R2021'!I422)/3</f>
        <v>0</v>
      </c>
      <c r="J422" s="71"/>
      <c r="K422" s="84">
        <f t="shared" si="16"/>
        <v>0</v>
      </c>
      <c r="L422" s="67">
        <f t="shared" si="17"/>
        <v>2004236.6666666667</v>
      </c>
    </row>
    <row r="423" spans="1:12" hidden="1" outlineLevel="1" x14ac:dyDescent="0.35">
      <c r="A423" s="37" t="s">
        <v>741</v>
      </c>
      <c r="B423" s="62" t="s">
        <v>742</v>
      </c>
      <c r="C423" s="54" t="s">
        <v>930</v>
      </c>
      <c r="D423" s="84">
        <f>('R2023'!D423+'R2022'!D423+'R2021'!D423)/3</f>
        <v>381.33333333333331</v>
      </c>
      <c r="E423" s="84">
        <f>('R2023'!E423+'R2022'!E423+'R2021'!E423)/3</f>
        <v>0</v>
      </c>
      <c r="F423" s="84">
        <f>('R2023'!F423+'R2022'!F423+'R2021'!F423)/3</f>
        <v>0</v>
      </c>
      <c r="G423" s="84">
        <f>('R2023'!G423+'R2022'!G423+'R2021'!G423)/3</f>
        <v>30205.333333333332</v>
      </c>
      <c r="H423" s="84">
        <f>('R2023'!H423+'R2022'!H423+'R2021'!H423)/3</f>
        <v>142733.33333333334</v>
      </c>
      <c r="I423" s="84">
        <f>('R2023'!I423+'R2022'!I423+'R2021'!I423)/3</f>
        <v>0</v>
      </c>
      <c r="J423" s="71"/>
      <c r="K423" s="84">
        <f t="shared" si="16"/>
        <v>0</v>
      </c>
      <c r="L423" s="67">
        <f t="shared" si="17"/>
        <v>173320</v>
      </c>
    </row>
    <row r="424" spans="1:12" hidden="1" outlineLevel="1" x14ac:dyDescent="0.35">
      <c r="A424" s="37" t="s">
        <v>743</v>
      </c>
      <c r="B424" s="62" t="s">
        <v>744</v>
      </c>
      <c r="C424" s="54" t="s">
        <v>930</v>
      </c>
      <c r="D424" s="84">
        <f>('R2023'!D424+'R2022'!D424+'R2021'!D424)/3</f>
        <v>0</v>
      </c>
      <c r="E424" s="84">
        <f>('R2023'!E424+'R2022'!E424+'R2021'!E424)/3</f>
        <v>0</v>
      </c>
      <c r="F424" s="84">
        <f>('R2023'!F424+'R2022'!F424+'R2021'!F424)/3</f>
        <v>0</v>
      </c>
      <c r="G424" s="84">
        <f>('R2023'!G424+'R2022'!G424+'R2021'!G424)/3</f>
        <v>0</v>
      </c>
      <c r="H424" s="84">
        <f>('R2023'!H424+'R2022'!H424+'R2021'!H424)/3</f>
        <v>0</v>
      </c>
      <c r="I424" s="84">
        <f>('R2023'!I424+'R2022'!I424+'R2021'!I424)/3</f>
        <v>1166.6666666666667</v>
      </c>
      <c r="J424" s="71"/>
      <c r="K424" s="84">
        <f t="shared" si="16"/>
        <v>1166.6666666666667</v>
      </c>
      <c r="L424" s="67">
        <f t="shared" si="17"/>
        <v>1166.6666666666667</v>
      </c>
    </row>
    <row r="425" spans="1:12" hidden="1" outlineLevel="1" x14ac:dyDescent="0.35">
      <c r="A425" s="37" t="s">
        <v>745</v>
      </c>
      <c r="B425" s="62" t="s">
        <v>746</v>
      </c>
      <c r="C425" s="54" t="s">
        <v>930</v>
      </c>
      <c r="D425" s="84">
        <f>('R2023'!D425+'R2022'!D425+'R2021'!D425)/3</f>
        <v>0</v>
      </c>
      <c r="E425" s="84">
        <f>('R2023'!E425+'R2022'!E425+'R2021'!E425)/3</f>
        <v>0</v>
      </c>
      <c r="F425" s="84">
        <f>('R2023'!F425+'R2022'!F425+'R2021'!F425)/3</f>
        <v>169916.66666666666</v>
      </c>
      <c r="G425" s="84">
        <f>('R2023'!G425+'R2022'!G425+'R2021'!G425)/3</f>
        <v>153949.66666666666</v>
      </c>
      <c r="H425" s="84">
        <f>('R2023'!H425+'R2022'!H425+'R2021'!H425)/3</f>
        <v>160538.33333333334</v>
      </c>
      <c r="I425" s="84">
        <f>('R2023'!I425+'R2022'!I425+'R2021'!I425)/3</f>
        <v>35465</v>
      </c>
      <c r="J425" s="71"/>
      <c r="K425" s="84">
        <f t="shared" si="16"/>
        <v>35465</v>
      </c>
      <c r="L425" s="67">
        <f t="shared" si="17"/>
        <v>519869.66666666663</v>
      </c>
    </row>
    <row r="426" spans="1:12" hidden="1" outlineLevel="1" x14ac:dyDescent="0.35">
      <c r="A426" s="37" t="s">
        <v>747</v>
      </c>
      <c r="B426" s="62" t="s">
        <v>748</v>
      </c>
      <c r="C426" s="54" t="s">
        <v>930</v>
      </c>
      <c r="D426" s="84">
        <f>('R2023'!D426+'R2022'!D426+'R2021'!D426)/3</f>
        <v>2585</v>
      </c>
      <c r="E426" s="84">
        <f>('R2023'!E426+'R2022'!E426+'R2021'!E426)/3</f>
        <v>8397.6666666666661</v>
      </c>
      <c r="F426" s="84">
        <f>('R2023'!F426+'R2022'!F426+'R2021'!F426)/3</f>
        <v>0</v>
      </c>
      <c r="G426" s="84">
        <f>('R2023'!G426+'R2022'!G426+'R2021'!G426)/3</f>
        <v>20485</v>
      </c>
      <c r="H426" s="84">
        <f>('R2023'!H426+'R2022'!H426+'R2021'!H426)/3</f>
        <v>0</v>
      </c>
      <c r="I426" s="84">
        <f>('R2023'!I426+'R2022'!I426+'R2021'!I426)/3</f>
        <v>2349.6666666666665</v>
      </c>
      <c r="J426" s="71"/>
      <c r="K426" s="84">
        <f t="shared" si="16"/>
        <v>2349.6666666666665</v>
      </c>
      <c r="L426" s="67">
        <f t="shared" si="17"/>
        <v>33817.333333333328</v>
      </c>
    </row>
    <row r="427" spans="1:12" hidden="1" outlineLevel="1" x14ac:dyDescent="0.35">
      <c r="A427" s="37" t="s">
        <v>749</v>
      </c>
      <c r="B427" s="62" t="s">
        <v>750</v>
      </c>
      <c r="C427" s="54" t="s">
        <v>930</v>
      </c>
      <c r="D427" s="84">
        <f>('R2023'!D427+'R2022'!D427+'R2021'!D427)/3</f>
        <v>0</v>
      </c>
      <c r="E427" s="84">
        <f>('R2023'!E427+'R2022'!E427+'R2021'!E427)/3</f>
        <v>0</v>
      </c>
      <c r="F427" s="84">
        <f>('R2023'!F427+'R2022'!F427+'R2021'!F427)/3</f>
        <v>0</v>
      </c>
      <c r="G427" s="84">
        <f>('R2023'!G427+'R2022'!G427+'R2021'!G427)/3</f>
        <v>27989</v>
      </c>
      <c r="H427" s="84">
        <f>('R2023'!H427+'R2022'!H427+'R2021'!H427)/3</f>
        <v>0</v>
      </c>
      <c r="I427" s="84">
        <f>('R2023'!I427+'R2022'!I427+'R2021'!I427)/3</f>
        <v>0</v>
      </c>
      <c r="J427" s="71"/>
      <c r="K427" s="84">
        <f t="shared" si="16"/>
        <v>0</v>
      </c>
      <c r="L427" s="67">
        <f t="shared" si="17"/>
        <v>27989</v>
      </c>
    </row>
    <row r="428" spans="1:12" hidden="1" outlineLevel="1" x14ac:dyDescent="0.35">
      <c r="A428" s="37" t="s">
        <v>751</v>
      </c>
      <c r="B428" s="62" t="s">
        <v>752</v>
      </c>
      <c r="C428" s="54" t="s">
        <v>930</v>
      </c>
      <c r="D428" s="84">
        <f>('R2023'!D428+'R2022'!D428+'R2021'!D428)/3</f>
        <v>0</v>
      </c>
      <c r="E428" s="84">
        <f>('R2023'!E428+'R2022'!E428+'R2021'!E428)/3</f>
        <v>0</v>
      </c>
      <c r="F428" s="84">
        <f>('R2023'!F428+'R2022'!F428+'R2021'!F428)/3</f>
        <v>0</v>
      </c>
      <c r="G428" s="84">
        <f>('R2023'!G428+'R2022'!G428+'R2021'!G428)/3</f>
        <v>5416.666666666667</v>
      </c>
      <c r="H428" s="84">
        <f>('R2023'!H428+'R2022'!H428+'R2021'!H428)/3</f>
        <v>0</v>
      </c>
      <c r="I428" s="84">
        <f>('R2023'!I428+'R2022'!I428+'R2021'!I428)/3</f>
        <v>0</v>
      </c>
      <c r="J428" s="71"/>
      <c r="K428" s="84">
        <f t="shared" si="16"/>
        <v>0</v>
      </c>
      <c r="L428" s="67">
        <f t="shared" si="17"/>
        <v>5416.666666666667</v>
      </c>
    </row>
    <row r="429" spans="1:12" hidden="1" outlineLevel="1" x14ac:dyDescent="0.35">
      <c r="A429" s="37" t="s">
        <v>753</v>
      </c>
      <c r="B429" s="62" t="s">
        <v>754</v>
      </c>
      <c r="C429" s="54" t="s">
        <v>930</v>
      </c>
      <c r="D429" s="84">
        <f>('R2023'!D429+'R2022'!D429+'R2021'!D429)/3</f>
        <v>0</v>
      </c>
      <c r="E429" s="84">
        <f>('R2023'!E429+'R2022'!E429+'R2021'!E429)/3</f>
        <v>0</v>
      </c>
      <c r="F429" s="84">
        <f>('R2023'!F429+'R2022'!F429+'R2021'!F429)/3</f>
        <v>6404.333333333333</v>
      </c>
      <c r="G429" s="84">
        <f>('R2023'!G429+'R2022'!G429+'R2021'!G429)/3</f>
        <v>11671</v>
      </c>
      <c r="H429" s="84">
        <f>('R2023'!H429+'R2022'!H429+'R2021'!H429)/3</f>
        <v>13863.333333333334</v>
      </c>
      <c r="I429" s="84">
        <f>('R2023'!I429+'R2022'!I429+'R2021'!I429)/3</f>
        <v>10000</v>
      </c>
      <c r="J429" s="71"/>
      <c r="K429" s="84">
        <f t="shared" si="16"/>
        <v>10000</v>
      </c>
      <c r="L429" s="67">
        <f t="shared" si="17"/>
        <v>41938.666666666664</v>
      </c>
    </row>
    <row r="430" spans="1:12" hidden="1" outlineLevel="1" x14ac:dyDescent="0.35">
      <c r="A430" s="37" t="s">
        <v>755</v>
      </c>
      <c r="B430" s="62" t="s">
        <v>756</v>
      </c>
      <c r="C430" s="54" t="s">
        <v>930</v>
      </c>
      <c r="D430" s="84">
        <f>('R2023'!D430+'R2022'!D430+'R2021'!D430)/3</f>
        <v>4279.333333333333</v>
      </c>
      <c r="E430" s="84">
        <f>('R2023'!E430+'R2022'!E430+'R2021'!E430)/3</f>
        <v>6922</v>
      </c>
      <c r="F430" s="84">
        <f>('R2023'!F430+'R2022'!F430+'R2021'!F430)/3</f>
        <v>14353.666666666666</v>
      </c>
      <c r="G430" s="84">
        <f>('R2023'!G430+'R2022'!G430+'R2021'!G430)/3</f>
        <v>3495.6666666666665</v>
      </c>
      <c r="H430" s="84">
        <f>('R2023'!H430+'R2022'!H430+'R2021'!H430)/3</f>
        <v>8334.6666666666661</v>
      </c>
      <c r="I430" s="84">
        <f>('R2023'!I430+'R2022'!I430+'R2021'!I430)/3</f>
        <v>84.666666666666671</v>
      </c>
      <c r="J430" s="71"/>
      <c r="K430" s="84">
        <f t="shared" si="16"/>
        <v>84.666666666666671</v>
      </c>
      <c r="L430" s="67">
        <f t="shared" si="17"/>
        <v>37470</v>
      </c>
    </row>
    <row r="431" spans="1:12" hidden="1" outlineLevel="1" x14ac:dyDescent="0.35">
      <c r="A431" s="37" t="s">
        <v>757</v>
      </c>
      <c r="B431" s="62" t="s">
        <v>758</v>
      </c>
      <c r="C431" s="54" t="s">
        <v>930</v>
      </c>
      <c r="D431" s="84">
        <f>('R2023'!D431+'R2022'!D431+'R2021'!D431)/3</f>
        <v>0</v>
      </c>
      <c r="E431" s="84">
        <f>('R2023'!E431+'R2022'!E431+'R2021'!E431)/3</f>
        <v>0</v>
      </c>
      <c r="F431" s="84">
        <f>('R2023'!F431+'R2022'!F431+'R2021'!F431)/3</f>
        <v>0</v>
      </c>
      <c r="G431" s="84">
        <f>('R2023'!G431+'R2022'!G431+'R2021'!G431)/3</f>
        <v>288.33333333333331</v>
      </c>
      <c r="H431" s="84">
        <f>('R2023'!H431+'R2022'!H431+'R2021'!H431)/3</f>
        <v>0</v>
      </c>
      <c r="I431" s="84">
        <f>('R2023'!I431+'R2022'!I431+'R2021'!I431)/3</f>
        <v>0</v>
      </c>
      <c r="J431" s="71"/>
      <c r="K431" s="84">
        <f t="shared" si="16"/>
        <v>0</v>
      </c>
      <c r="L431" s="67">
        <f t="shared" si="17"/>
        <v>288.33333333333331</v>
      </c>
    </row>
    <row r="432" spans="1:12" hidden="1" outlineLevel="1" x14ac:dyDescent="0.35">
      <c r="A432" s="37" t="s">
        <v>759</v>
      </c>
      <c r="B432" s="62" t="s">
        <v>760</v>
      </c>
      <c r="C432" s="54" t="s">
        <v>930</v>
      </c>
      <c r="D432" s="84">
        <f>('R2023'!D432+'R2022'!D432+'R2021'!D432)/3</f>
        <v>0</v>
      </c>
      <c r="E432" s="84">
        <f>('R2023'!E432+'R2022'!E432+'R2021'!E432)/3</f>
        <v>648</v>
      </c>
      <c r="F432" s="84">
        <f>('R2023'!F432+'R2022'!F432+'R2021'!F432)/3</f>
        <v>0</v>
      </c>
      <c r="G432" s="84">
        <f>('R2023'!G432+'R2022'!G432+'R2021'!G432)/3</f>
        <v>38242.666666666664</v>
      </c>
      <c r="H432" s="84">
        <f>('R2023'!H432+'R2022'!H432+'R2021'!H432)/3</f>
        <v>0</v>
      </c>
      <c r="I432" s="84">
        <f>('R2023'!I432+'R2022'!I432+'R2021'!I432)/3</f>
        <v>0</v>
      </c>
      <c r="J432" s="71"/>
      <c r="K432" s="84">
        <f t="shared" si="16"/>
        <v>0</v>
      </c>
      <c r="L432" s="67">
        <f t="shared" si="17"/>
        <v>38890.666666666664</v>
      </c>
    </row>
    <row r="433" spans="1:12" hidden="1" outlineLevel="1" x14ac:dyDescent="0.35">
      <c r="A433" s="37" t="s">
        <v>761</v>
      </c>
      <c r="B433" s="62" t="s">
        <v>762</v>
      </c>
      <c r="C433" s="54" t="s">
        <v>930</v>
      </c>
      <c r="D433" s="84">
        <f>('R2023'!D433+'R2022'!D433+'R2021'!D433)/3</f>
        <v>0</v>
      </c>
      <c r="E433" s="84">
        <f>('R2023'!E433+'R2022'!E433+'R2021'!E433)/3</f>
        <v>0</v>
      </c>
      <c r="F433" s="84">
        <f>('R2023'!F433+'R2022'!F433+'R2021'!F433)/3</f>
        <v>0</v>
      </c>
      <c r="G433" s="84">
        <f>('R2023'!G433+'R2022'!G433+'R2021'!G433)/3</f>
        <v>192.66666666666666</v>
      </c>
      <c r="H433" s="84">
        <f>('R2023'!H433+'R2022'!H433+'R2021'!H433)/3</f>
        <v>0</v>
      </c>
      <c r="I433" s="84">
        <f>('R2023'!I433+'R2022'!I433+'R2021'!I433)/3</f>
        <v>0</v>
      </c>
      <c r="J433" s="71"/>
      <c r="K433" s="84">
        <f t="shared" si="16"/>
        <v>0</v>
      </c>
      <c r="L433" s="67">
        <f t="shared" si="17"/>
        <v>192.66666666666666</v>
      </c>
    </row>
    <row r="434" spans="1:12" hidden="1" outlineLevel="1" x14ac:dyDescent="0.35">
      <c r="A434" s="37" t="s">
        <v>763</v>
      </c>
      <c r="B434" s="62" t="s">
        <v>764</v>
      </c>
      <c r="C434" s="54" t="s">
        <v>930</v>
      </c>
      <c r="D434" s="84">
        <f>('R2023'!D434+'R2022'!D434+'R2021'!D434)/3</f>
        <v>0</v>
      </c>
      <c r="E434" s="84">
        <f>('R2023'!E434+'R2022'!E434+'R2021'!E434)/3</f>
        <v>16765.333333333332</v>
      </c>
      <c r="F434" s="84">
        <f>('R2023'!F434+'R2022'!F434+'R2021'!F434)/3</f>
        <v>86013.666666666672</v>
      </c>
      <c r="G434" s="84">
        <f>('R2023'!G434+'R2022'!G434+'R2021'!G434)/3</f>
        <v>16670</v>
      </c>
      <c r="H434" s="84">
        <f>('R2023'!H434+'R2022'!H434+'R2021'!H434)/3</f>
        <v>0</v>
      </c>
      <c r="I434" s="84">
        <f>('R2023'!I434+'R2022'!I434+'R2021'!I434)/3</f>
        <v>4196.666666666667</v>
      </c>
      <c r="J434" s="71"/>
      <c r="K434" s="84">
        <f t="shared" si="16"/>
        <v>4196.666666666667</v>
      </c>
      <c r="L434" s="67">
        <f t="shared" si="17"/>
        <v>123645.66666666667</v>
      </c>
    </row>
    <row r="435" spans="1:12" hidden="1" outlineLevel="1" x14ac:dyDescent="0.35">
      <c r="A435" s="37" t="s">
        <v>765</v>
      </c>
      <c r="B435" s="62" t="s">
        <v>766</v>
      </c>
      <c r="C435" s="54" t="s">
        <v>930</v>
      </c>
      <c r="D435" s="84">
        <f>('R2023'!D435+'R2022'!D435+'R2021'!D435)/3</f>
        <v>7813.666666666667</v>
      </c>
      <c r="E435" s="84">
        <f>('R2023'!E435+'R2022'!E435+'R2021'!E435)/3</f>
        <v>19294.333333333332</v>
      </c>
      <c r="F435" s="84">
        <f>('R2023'!F435+'R2022'!F435+'R2021'!F435)/3</f>
        <v>163675.66666666666</v>
      </c>
      <c r="G435" s="84">
        <f>('R2023'!G435+'R2022'!G435+'R2021'!G435)/3</f>
        <v>71100</v>
      </c>
      <c r="H435" s="84">
        <f>('R2023'!H435+'R2022'!H435+'R2021'!H435)/3</f>
        <v>99242</v>
      </c>
      <c r="I435" s="84">
        <f>('R2023'!I435+'R2022'!I435+'R2021'!I435)/3</f>
        <v>951.66666666666663</v>
      </c>
      <c r="J435" s="71"/>
      <c r="K435" s="84">
        <f t="shared" si="16"/>
        <v>951.66666666666663</v>
      </c>
      <c r="L435" s="67">
        <f t="shared" si="17"/>
        <v>362077.33333333331</v>
      </c>
    </row>
    <row r="436" spans="1:12" hidden="1" outlineLevel="1" x14ac:dyDescent="0.35">
      <c r="A436" s="37" t="s">
        <v>767</v>
      </c>
      <c r="B436" s="62" t="s">
        <v>768</v>
      </c>
      <c r="C436" s="54" t="s">
        <v>930</v>
      </c>
      <c r="D436" s="84">
        <f>('R2023'!D436+'R2022'!D436+'R2021'!D436)/3</f>
        <v>0</v>
      </c>
      <c r="E436" s="84">
        <f>('R2023'!E436+'R2022'!E436+'R2021'!E436)/3</f>
        <v>3067.6666666666665</v>
      </c>
      <c r="F436" s="84">
        <f>('R2023'!F436+'R2022'!F436+'R2021'!F436)/3</f>
        <v>63993.333333333336</v>
      </c>
      <c r="G436" s="84">
        <f>('R2023'!G436+'R2022'!G436+'R2021'!G436)/3</f>
        <v>28169.333333333332</v>
      </c>
      <c r="H436" s="84">
        <f>('R2023'!H436+'R2022'!H436+'R2021'!H436)/3</f>
        <v>7292</v>
      </c>
      <c r="I436" s="84">
        <f>('R2023'!I436+'R2022'!I436+'R2021'!I436)/3</f>
        <v>2887.6666666666665</v>
      </c>
      <c r="J436" s="71"/>
      <c r="K436" s="84">
        <f t="shared" si="16"/>
        <v>2887.6666666666665</v>
      </c>
      <c r="L436" s="67">
        <f t="shared" si="17"/>
        <v>105410</v>
      </c>
    </row>
    <row r="437" spans="1:12" hidden="1" outlineLevel="1" x14ac:dyDescent="0.35">
      <c r="A437" s="37" t="s">
        <v>769</v>
      </c>
      <c r="B437" s="62" t="s">
        <v>770</v>
      </c>
      <c r="C437" s="54" t="s">
        <v>930</v>
      </c>
      <c r="D437" s="84">
        <f>('R2023'!D437+'R2022'!D437+'R2021'!D437)/3</f>
        <v>0</v>
      </c>
      <c r="E437" s="84">
        <f>('R2023'!E437+'R2022'!E437+'R2021'!E437)/3</f>
        <v>0</v>
      </c>
      <c r="F437" s="84">
        <f>('R2023'!F437+'R2022'!F437+'R2021'!F437)/3</f>
        <v>0</v>
      </c>
      <c r="G437" s="84">
        <f>('R2023'!G437+'R2022'!G437+'R2021'!G437)/3</f>
        <v>0</v>
      </c>
      <c r="H437" s="84">
        <f>('R2023'!H437+'R2022'!H437+'R2021'!H437)/3</f>
        <v>0</v>
      </c>
      <c r="I437" s="84">
        <f>('R2023'!I437+'R2022'!I437+'R2021'!I437)/3</f>
        <v>0</v>
      </c>
      <c r="J437" s="71"/>
      <c r="K437" s="84">
        <f t="shared" si="16"/>
        <v>0</v>
      </c>
      <c r="L437" s="67">
        <f t="shared" si="17"/>
        <v>0</v>
      </c>
    </row>
    <row r="438" spans="1:12" hidden="1" outlineLevel="1" x14ac:dyDescent="0.35">
      <c r="A438" s="37" t="s">
        <v>771</v>
      </c>
      <c r="B438" s="62" t="s">
        <v>772</v>
      </c>
      <c r="C438" s="54" t="s">
        <v>930</v>
      </c>
      <c r="D438" s="84">
        <f>('R2023'!D438+'R2022'!D438+'R2021'!D438)/3</f>
        <v>0</v>
      </c>
      <c r="E438" s="84">
        <f>('R2023'!E438+'R2022'!E438+'R2021'!E438)/3</f>
        <v>3722.3333333333335</v>
      </c>
      <c r="F438" s="84">
        <f>('R2023'!F438+'R2022'!F438+'R2021'!F438)/3</f>
        <v>1346</v>
      </c>
      <c r="G438" s="84">
        <f>('R2023'!G438+'R2022'!G438+'R2021'!G438)/3</f>
        <v>348</v>
      </c>
      <c r="H438" s="84">
        <f>('R2023'!H438+'R2022'!H438+'R2021'!H438)/3</f>
        <v>204.66666666666666</v>
      </c>
      <c r="I438" s="84">
        <f>('R2023'!I438+'R2022'!I438+'R2021'!I438)/3</f>
        <v>0</v>
      </c>
      <c r="J438" s="71"/>
      <c r="K438" s="84">
        <f t="shared" si="16"/>
        <v>0</v>
      </c>
      <c r="L438" s="67">
        <f t="shared" si="17"/>
        <v>5621.0000000000009</v>
      </c>
    </row>
    <row r="439" spans="1:12" hidden="1" outlineLevel="1" x14ac:dyDescent="0.35">
      <c r="A439" s="37" t="s">
        <v>773</v>
      </c>
      <c r="B439" s="62" t="s">
        <v>774</v>
      </c>
      <c r="C439" s="54" t="s">
        <v>930</v>
      </c>
      <c r="D439" s="84">
        <f>('R2023'!D439+'R2022'!D439+'R2021'!D439)/3</f>
        <v>0</v>
      </c>
      <c r="E439" s="84">
        <f>('R2023'!E439+'R2022'!E439+'R2021'!E439)/3</f>
        <v>0</v>
      </c>
      <c r="F439" s="84">
        <f>('R2023'!F439+'R2022'!F439+'R2021'!F439)/3</f>
        <v>0</v>
      </c>
      <c r="G439" s="84">
        <f>('R2023'!G439+'R2022'!G439+'R2021'!G439)/3</f>
        <v>6865</v>
      </c>
      <c r="H439" s="84">
        <f>('R2023'!H439+'R2022'!H439+'R2021'!H439)/3</f>
        <v>11098.666666666666</v>
      </c>
      <c r="I439" s="84">
        <f>('R2023'!I439+'R2022'!I439+'R2021'!I439)/3</f>
        <v>0</v>
      </c>
      <c r="J439" s="71"/>
      <c r="K439" s="84">
        <f t="shared" si="16"/>
        <v>0</v>
      </c>
      <c r="L439" s="67">
        <f t="shared" si="17"/>
        <v>17963.666666666664</v>
      </c>
    </row>
    <row r="440" spans="1:12" hidden="1" outlineLevel="1" x14ac:dyDescent="0.35">
      <c r="A440" s="37" t="s">
        <v>775</v>
      </c>
      <c r="B440" s="62" t="s">
        <v>776</v>
      </c>
      <c r="C440" s="54" t="s">
        <v>930</v>
      </c>
      <c r="D440" s="84">
        <f>('R2023'!D440+'R2022'!D440+'R2021'!D440)/3</f>
        <v>0</v>
      </c>
      <c r="E440" s="84">
        <f>('R2023'!E440+'R2022'!E440+'R2021'!E440)/3</f>
        <v>0</v>
      </c>
      <c r="F440" s="84">
        <f>('R2023'!F440+'R2022'!F440+'R2021'!F440)/3</f>
        <v>0</v>
      </c>
      <c r="G440" s="84">
        <f>('R2023'!G440+'R2022'!G440+'R2021'!G440)/3</f>
        <v>399.66666666666669</v>
      </c>
      <c r="H440" s="84">
        <f>('R2023'!H440+'R2022'!H440+'R2021'!H440)/3</f>
        <v>10270.666666666666</v>
      </c>
      <c r="I440" s="84">
        <f>('R2023'!I440+'R2022'!I440+'R2021'!I440)/3</f>
        <v>0</v>
      </c>
      <c r="J440" s="71"/>
      <c r="K440" s="84">
        <f t="shared" si="16"/>
        <v>0</v>
      </c>
      <c r="L440" s="67">
        <f t="shared" si="17"/>
        <v>10670.333333333332</v>
      </c>
    </row>
    <row r="441" spans="1:12" hidden="1" outlineLevel="1" x14ac:dyDescent="0.35">
      <c r="A441" s="37" t="s">
        <v>777</v>
      </c>
      <c r="B441" s="62" t="s">
        <v>778</v>
      </c>
      <c r="C441" s="54" t="s">
        <v>930</v>
      </c>
      <c r="D441" s="84">
        <f>('R2023'!D441+'R2022'!D441+'R2021'!D441)/3</f>
        <v>0</v>
      </c>
      <c r="E441" s="84">
        <f>('R2023'!E441+'R2022'!E441+'R2021'!E441)/3</f>
        <v>0</v>
      </c>
      <c r="F441" s="84">
        <f>('R2023'!F441+'R2022'!F441+'R2021'!F441)/3</f>
        <v>0</v>
      </c>
      <c r="G441" s="84">
        <f>('R2023'!G441+'R2022'!G441+'R2021'!G441)/3</f>
        <v>11285.333333333334</v>
      </c>
      <c r="H441" s="84">
        <f>('R2023'!H441+'R2022'!H441+'R2021'!H441)/3</f>
        <v>0</v>
      </c>
      <c r="I441" s="84">
        <f>('R2023'!I441+'R2022'!I441+'R2021'!I441)/3</f>
        <v>0</v>
      </c>
      <c r="J441" s="71"/>
      <c r="K441" s="84">
        <f t="shared" si="16"/>
        <v>0</v>
      </c>
      <c r="L441" s="67">
        <f t="shared" si="17"/>
        <v>11285.333333333334</v>
      </c>
    </row>
    <row r="442" spans="1:12" hidden="1" outlineLevel="1" x14ac:dyDescent="0.35">
      <c r="A442" s="37" t="s">
        <v>779</v>
      </c>
      <c r="B442" s="62" t="s">
        <v>780</v>
      </c>
      <c r="C442" s="54" t="s">
        <v>930</v>
      </c>
      <c r="D442" s="84">
        <f>('R2023'!D442+'R2022'!D442+'R2021'!D442)/3</f>
        <v>0</v>
      </c>
      <c r="E442" s="84">
        <f>('R2023'!E442+'R2022'!E442+'R2021'!E442)/3</f>
        <v>0</v>
      </c>
      <c r="F442" s="84">
        <f>('R2023'!F442+'R2022'!F442+'R2021'!F442)/3</f>
        <v>0</v>
      </c>
      <c r="G442" s="84">
        <f>('R2023'!G442+'R2022'!G442+'R2021'!G442)/3</f>
        <v>0</v>
      </c>
      <c r="H442" s="84">
        <f>('R2023'!H442+'R2022'!H442+'R2021'!H442)/3</f>
        <v>0</v>
      </c>
      <c r="I442" s="84">
        <f>('R2023'!I442+'R2022'!I442+'R2021'!I442)/3</f>
        <v>0</v>
      </c>
      <c r="J442" s="71"/>
      <c r="K442" s="84">
        <f t="shared" si="16"/>
        <v>0</v>
      </c>
      <c r="L442" s="67">
        <f t="shared" si="17"/>
        <v>0</v>
      </c>
    </row>
    <row r="443" spans="1:12" hidden="1" outlineLevel="1" x14ac:dyDescent="0.35">
      <c r="A443" s="37" t="s">
        <v>781</v>
      </c>
      <c r="B443" s="62" t="s">
        <v>782</v>
      </c>
      <c r="C443" s="54" t="s">
        <v>930</v>
      </c>
      <c r="D443" s="84">
        <f>('R2023'!D443+'R2022'!D443+'R2021'!D443)/3</f>
        <v>0</v>
      </c>
      <c r="E443" s="84">
        <f>('R2023'!E443+'R2022'!E443+'R2021'!E443)/3</f>
        <v>0</v>
      </c>
      <c r="F443" s="84">
        <f>('R2023'!F443+'R2022'!F443+'R2021'!F443)/3</f>
        <v>0</v>
      </c>
      <c r="G443" s="84">
        <f>('R2023'!G443+'R2022'!G443+'R2021'!G443)/3</f>
        <v>20746.333333333332</v>
      </c>
      <c r="H443" s="84">
        <f>('R2023'!H443+'R2022'!H443+'R2021'!H443)/3</f>
        <v>4631.333333333333</v>
      </c>
      <c r="I443" s="84">
        <f>('R2023'!I443+'R2022'!I443+'R2021'!I443)/3</f>
        <v>24108.666666666668</v>
      </c>
      <c r="J443" s="71"/>
      <c r="K443" s="84">
        <f t="shared" si="16"/>
        <v>24108.666666666668</v>
      </c>
      <c r="L443" s="67">
        <f t="shared" si="17"/>
        <v>49486.333333333336</v>
      </c>
    </row>
    <row r="444" spans="1:12" hidden="1" outlineLevel="1" x14ac:dyDescent="0.35">
      <c r="A444" s="37" t="s">
        <v>783</v>
      </c>
      <c r="B444" s="62" t="s">
        <v>784</v>
      </c>
      <c r="C444" s="54" t="s">
        <v>930</v>
      </c>
      <c r="D444" s="84">
        <f>('R2023'!D444+'R2022'!D444+'R2021'!D444)/3</f>
        <v>0</v>
      </c>
      <c r="E444" s="84">
        <f>('R2023'!E444+'R2022'!E444+'R2021'!E444)/3</f>
        <v>0</v>
      </c>
      <c r="F444" s="84">
        <f>('R2023'!F444+'R2022'!F444+'R2021'!F444)/3</f>
        <v>116376</v>
      </c>
      <c r="G444" s="84">
        <f>('R2023'!G444+'R2022'!G444+'R2021'!G444)/3</f>
        <v>30667.333333333332</v>
      </c>
      <c r="H444" s="84">
        <f>('R2023'!H444+'R2022'!H444+'R2021'!H444)/3</f>
        <v>51929.666666666664</v>
      </c>
      <c r="I444" s="84">
        <f>('R2023'!I444+'R2022'!I444+'R2021'!I444)/3</f>
        <v>0</v>
      </c>
      <c r="J444" s="71"/>
      <c r="K444" s="84">
        <f t="shared" si="16"/>
        <v>0</v>
      </c>
      <c r="L444" s="67">
        <f t="shared" si="17"/>
        <v>198973</v>
      </c>
    </row>
    <row r="445" spans="1:12" hidden="1" outlineLevel="1" x14ac:dyDescent="0.35">
      <c r="A445" s="37" t="s">
        <v>785</v>
      </c>
      <c r="B445" s="62" t="s">
        <v>786</v>
      </c>
      <c r="C445" s="54" t="s">
        <v>930</v>
      </c>
      <c r="D445" s="84">
        <f>('R2023'!D445+'R2022'!D445+'R2021'!D445)/3</f>
        <v>2370.3333333333335</v>
      </c>
      <c r="E445" s="84">
        <f>('R2023'!E445+'R2022'!E445+'R2021'!E445)/3</f>
        <v>0</v>
      </c>
      <c r="F445" s="84">
        <f>('R2023'!F445+'R2022'!F445+'R2021'!F445)/3</f>
        <v>0</v>
      </c>
      <c r="G445" s="84">
        <f>('R2023'!G445+'R2022'!G445+'R2021'!G445)/3</f>
        <v>0</v>
      </c>
      <c r="H445" s="84">
        <f>('R2023'!H445+'R2022'!H445+'R2021'!H445)/3</f>
        <v>0</v>
      </c>
      <c r="I445" s="84">
        <f>('R2023'!I445+'R2022'!I445+'R2021'!I445)/3</f>
        <v>0</v>
      </c>
      <c r="J445" s="71"/>
      <c r="K445" s="84">
        <f t="shared" si="16"/>
        <v>0</v>
      </c>
      <c r="L445" s="67">
        <f t="shared" si="17"/>
        <v>2370.3333333333335</v>
      </c>
    </row>
    <row r="446" spans="1:12" hidden="1" outlineLevel="1" x14ac:dyDescent="0.35">
      <c r="A446" s="37" t="s">
        <v>787</v>
      </c>
      <c r="B446" s="62" t="s">
        <v>788</v>
      </c>
      <c r="C446" s="54" t="s">
        <v>930</v>
      </c>
      <c r="D446" s="84">
        <f>('R2023'!D446+'R2022'!D446+'R2021'!D446)/3</f>
        <v>0</v>
      </c>
      <c r="E446" s="84">
        <f>('R2023'!E446+'R2022'!E446+'R2021'!E446)/3</f>
        <v>3749</v>
      </c>
      <c r="F446" s="84">
        <f>('R2023'!F446+'R2022'!F446+'R2021'!F446)/3</f>
        <v>11659</v>
      </c>
      <c r="G446" s="84">
        <f>('R2023'!G446+'R2022'!G446+'R2021'!G446)/3</f>
        <v>21699</v>
      </c>
      <c r="H446" s="84">
        <f>('R2023'!H446+'R2022'!H446+'R2021'!H446)/3</f>
        <v>13871.666666666666</v>
      </c>
      <c r="I446" s="84">
        <f>('R2023'!I446+'R2022'!I446+'R2021'!I446)/3</f>
        <v>16278</v>
      </c>
      <c r="J446" s="71"/>
      <c r="K446" s="84">
        <f t="shared" si="16"/>
        <v>16278</v>
      </c>
      <c r="L446" s="67">
        <f t="shared" si="17"/>
        <v>67256.666666666672</v>
      </c>
    </row>
    <row r="447" spans="1:12" hidden="1" outlineLevel="1" x14ac:dyDescent="0.35">
      <c r="A447" s="37" t="s">
        <v>789</v>
      </c>
      <c r="B447" s="62" t="s">
        <v>790</v>
      </c>
      <c r="C447" s="54" t="s">
        <v>930</v>
      </c>
      <c r="D447" s="84">
        <f>('R2023'!D447+'R2022'!D447+'R2021'!D447)/3</f>
        <v>0</v>
      </c>
      <c r="E447" s="84">
        <f>('R2023'!E447+'R2022'!E447+'R2021'!E447)/3</f>
        <v>0</v>
      </c>
      <c r="F447" s="84">
        <f>('R2023'!F447+'R2022'!F447+'R2021'!F447)/3</f>
        <v>0</v>
      </c>
      <c r="G447" s="84">
        <f>('R2023'!G447+'R2022'!G447+'R2021'!G447)/3</f>
        <v>0</v>
      </c>
      <c r="H447" s="84">
        <f>('R2023'!H447+'R2022'!H447+'R2021'!H447)/3</f>
        <v>0</v>
      </c>
      <c r="I447" s="84">
        <f>('R2023'!I447+'R2022'!I447+'R2021'!I447)/3</f>
        <v>0</v>
      </c>
      <c r="J447" s="71"/>
      <c r="K447" s="84">
        <f t="shared" si="16"/>
        <v>0</v>
      </c>
      <c r="L447" s="67">
        <f t="shared" si="17"/>
        <v>0</v>
      </c>
    </row>
    <row r="448" spans="1:12" hidden="1" outlineLevel="1" x14ac:dyDescent="0.35">
      <c r="A448" s="37" t="s">
        <v>791</v>
      </c>
      <c r="B448" s="62" t="s">
        <v>792</v>
      </c>
      <c r="C448" s="54" t="s">
        <v>930</v>
      </c>
      <c r="D448" s="84">
        <f>('R2023'!D448+'R2022'!D448+'R2021'!D448)/3</f>
        <v>0</v>
      </c>
      <c r="E448" s="84">
        <f>('R2023'!E448+'R2022'!E448+'R2021'!E448)/3</f>
        <v>0</v>
      </c>
      <c r="F448" s="84">
        <f>('R2023'!F448+'R2022'!F448+'R2021'!F448)/3</f>
        <v>0</v>
      </c>
      <c r="G448" s="84">
        <f>('R2023'!G448+'R2022'!G448+'R2021'!G448)/3</f>
        <v>0</v>
      </c>
      <c r="H448" s="84">
        <f>('R2023'!H448+'R2022'!H448+'R2021'!H448)/3</f>
        <v>65.333333333333329</v>
      </c>
      <c r="I448" s="84">
        <f>('R2023'!I448+'R2022'!I448+'R2021'!I448)/3</f>
        <v>0</v>
      </c>
      <c r="J448" s="71"/>
      <c r="K448" s="84">
        <f t="shared" si="16"/>
        <v>0</v>
      </c>
      <c r="L448" s="67">
        <f t="shared" si="17"/>
        <v>65.333333333333329</v>
      </c>
    </row>
    <row r="449" spans="1:12" hidden="1" outlineLevel="1" x14ac:dyDescent="0.35">
      <c r="A449" s="37" t="s">
        <v>793</v>
      </c>
      <c r="B449" s="62" t="s">
        <v>794</v>
      </c>
      <c r="C449" s="54" t="s">
        <v>930</v>
      </c>
      <c r="D449" s="84">
        <f>('R2023'!D449+'R2022'!D449+'R2021'!D449)/3</f>
        <v>2200</v>
      </c>
      <c r="E449" s="84">
        <f>('R2023'!E449+'R2022'!E449+'R2021'!E449)/3</f>
        <v>16617.666666666668</v>
      </c>
      <c r="F449" s="84">
        <f>('R2023'!F449+'R2022'!F449+'R2021'!F449)/3</f>
        <v>47243.333333333336</v>
      </c>
      <c r="G449" s="84">
        <f>('R2023'!G449+'R2022'!G449+'R2021'!G449)/3</f>
        <v>5299.666666666667</v>
      </c>
      <c r="H449" s="84">
        <f>('R2023'!H449+'R2022'!H449+'R2021'!H449)/3</f>
        <v>66230</v>
      </c>
      <c r="I449" s="84">
        <f>('R2023'!I449+'R2022'!I449+'R2021'!I449)/3</f>
        <v>0</v>
      </c>
      <c r="J449" s="71"/>
      <c r="K449" s="84">
        <f t="shared" si="16"/>
        <v>0</v>
      </c>
      <c r="L449" s="67">
        <f t="shared" si="17"/>
        <v>137590.66666666669</v>
      </c>
    </row>
    <row r="450" spans="1:12" hidden="1" outlineLevel="1" x14ac:dyDescent="0.35">
      <c r="A450" s="37" t="s">
        <v>795</v>
      </c>
      <c r="B450" s="62" t="s">
        <v>796</v>
      </c>
      <c r="C450" s="54" t="s">
        <v>930</v>
      </c>
      <c r="D450" s="84">
        <f>('R2023'!D450+'R2022'!D450+'R2021'!D450)/3</f>
        <v>0</v>
      </c>
      <c r="E450" s="84">
        <f>('R2023'!E450+'R2022'!E450+'R2021'!E450)/3</f>
        <v>0</v>
      </c>
      <c r="F450" s="84" t="e">
        <f>('R2023'!F450+'R2022'!F450+'R2021'!F450)/3</f>
        <v>#VALUE!</v>
      </c>
      <c r="G450" s="84">
        <f>('R2023'!G450+'R2022'!G450+'R2021'!G450)/3</f>
        <v>2903.3333333333335</v>
      </c>
      <c r="H450" s="84">
        <f>('R2023'!H450+'R2022'!H450+'R2021'!H450)/3</f>
        <v>0</v>
      </c>
      <c r="I450" s="84">
        <f>('R2023'!I450+'R2022'!I450+'R2021'!I450)/3</f>
        <v>3333.3333333333335</v>
      </c>
      <c r="J450" s="71"/>
      <c r="K450" s="84">
        <f t="shared" si="16"/>
        <v>3333.3333333333335</v>
      </c>
      <c r="L450" s="67" t="e">
        <f t="shared" si="17"/>
        <v>#VALUE!</v>
      </c>
    </row>
    <row r="451" spans="1:12" hidden="1" outlineLevel="1" x14ac:dyDescent="0.35">
      <c r="A451" s="37" t="s">
        <v>797</v>
      </c>
      <c r="B451" s="62" t="s">
        <v>798</v>
      </c>
      <c r="C451" s="54" t="s">
        <v>930</v>
      </c>
      <c r="D451" s="84">
        <f>('R2023'!D451+'R2022'!D451+'R2021'!D451)/3</f>
        <v>0</v>
      </c>
      <c r="E451" s="84">
        <f>('R2023'!E451+'R2022'!E451+'R2021'!E451)/3</f>
        <v>0</v>
      </c>
      <c r="F451" s="84">
        <f>('R2023'!F451+'R2022'!F451+'R2021'!F451)/3</f>
        <v>0</v>
      </c>
      <c r="G451" s="84">
        <f>('R2023'!G451+'R2022'!G451+'R2021'!G451)/3</f>
        <v>0</v>
      </c>
      <c r="H451" s="84">
        <f>('R2023'!H451+'R2022'!H451+'R2021'!H451)/3</f>
        <v>0</v>
      </c>
      <c r="I451" s="84">
        <f>('R2023'!I451+'R2022'!I451+'R2021'!I451)/3</f>
        <v>0</v>
      </c>
      <c r="J451" s="71"/>
      <c r="K451" s="84">
        <f t="shared" si="16"/>
        <v>0</v>
      </c>
      <c r="L451" s="67">
        <f t="shared" si="17"/>
        <v>0</v>
      </c>
    </row>
    <row r="452" spans="1:12" hidden="1" outlineLevel="1" x14ac:dyDescent="0.35">
      <c r="A452" s="37" t="s">
        <v>799</v>
      </c>
      <c r="B452" s="62" t="s">
        <v>800</v>
      </c>
      <c r="C452" s="54" t="s">
        <v>930</v>
      </c>
      <c r="D452" s="84">
        <f>('R2023'!D452+'R2022'!D452+'R2021'!D452)/3</f>
        <v>0</v>
      </c>
      <c r="E452" s="84">
        <f>('R2023'!E452+'R2022'!E452+'R2021'!E452)/3</f>
        <v>0</v>
      </c>
      <c r="F452" s="84">
        <f>('R2023'!F452+'R2022'!F452+'R2021'!F452)/3</f>
        <v>0</v>
      </c>
      <c r="G452" s="84">
        <f>('R2023'!G452+'R2022'!G452+'R2021'!G452)/3</f>
        <v>3829</v>
      </c>
      <c r="H452" s="84">
        <f>('R2023'!H452+'R2022'!H452+'R2021'!H452)/3</f>
        <v>0</v>
      </c>
      <c r="I452" s="84">
        <f>('R2023'!I452+'R2022'!I452+'R2021'!I452)/3</f>
        <v>0</v>
      </c>
      <c r="J452" s="71"/>
      <c r="K452" s="84">
        <f t="shared" si="16"/>
        <v>0</v>
      </c>
      <c r="L452" s="67">
        <f t="shared" si="17"/>
        <v>3829</v>
      </c>
    </row>
    <row r="453" spans="1:12" hidden="1" outlineLevel="1" x14ac:dyDescent="0.35">
      <c r="A453" s="37" t="s">
        <v>801</v>
      </c>
      <c r="B453" s="62" t="s">
        <v>802</v>
      </c>
      <c r="C453" s="54" t="s">
        <v>930</v>
      </c>
      <c r="D453" s="84">
        <f>('R2023'!D453+'R2022'!D453+'R2021'!D453)/3</f>
        <v>0</v>
      </c>
      <c r="E453" s="84">
        <f>('R2023'!E453+'R2022'!E453+'R2021'!E453)/3</f>
        <v>18653.333333333332</v>
      </c>
      <c r="F453" s="84">
        <f>('R2023'!F453+'R2022'!F453+'R2021'!F453)/3</f>
        <v>131744</v>
      </c>
      <c r="G453" s="84">
        <f>('R2023'!G453+'R2022'!G453+'R2021'!G453)/3</f>
        <v>70236</v>
      </c>
      <c r="H453" s="84">
        <f>('R2023'!H453+'R2022'!H453+'R2021'!H453)/3</f>
        <v>3073</v>
      </c>
      <c r="I453" s="84">
        <f>('R2023'!I453+'R2022'!I453+'R2021'!I453)/3</f>
        <v>0</v>
      </c>
      <c r="J453" s="71"/>
      <c r="K453" s="84">
        <f t="shared" si="16"/>
        <v>0</v>
      </c>
      <c r="L453" s="67">
        <f t="shared" si="17"/>
        <v>223706.33333333334</v>
      </c>
    </row>
    <row r="454" spans="1:12" hidden="1" outlineLevel="1" x14ac:dyDescent="0.35">
      <c r="A454" s="37" t="s">
        <v>803</v>
      </c>
      <c r="B454" s="62" t="s">
        <v>804</v>
      </c>
      <c r="C454" s="54" t="s">
        <v>930</v>
      </c>
      <c r="D454" s="84">
        <f>('R2023'!D454+'R2022'!D454+'R2021'!D454)/3</f>
        <v>0</v>
      </c>
      <c r="E454" s="84">
        <f>('R2023'!E454+'R2022'!E454+'R2021'!E454)/3</f>
        <v>0</v>
      </c>
      <c r="F454" s="84">
        <f>('R2023'!F454+'R2022'!F454+'R2021'!F454)/3</f>
        <v>265515</v>
      </c>
      <c r="G454" s="84">
        <f>('R2023'!G454+'R2022'!G454+'R2021'!G454)/3</f>
        <v>4755</v>
      </c>
      <c r="H454" s="84">
        <f>('R2023'!H454+'R2022'!H454+'R2021'!H454)/3</f>
        <v>51515</v>
      </c>
      <c r="I454" s="84">
        <f>('R2023'!I454+'R2022'!I454+'R2021'!I454)/3</f>
        <v>18857.333333333332</v>
      </c>
      <c r="J454" s="71"/>
      <c r="K454" s="84">
        <f t="shared" si="16"/>
        <v>18857.333333333332</v>
      </c>
      <c r="L454" s="67">
        <f t="shared" si="17"/>
        <v>340642.33333333331</v>
      </c>
    </row>
    <row r="455" spans="1:12" hidden="1" outlineLevel="1" x14ac:dyDescent="0.35">
      <c r="A455" s="37" t="s">
        <v>805</v>
      </c>
      <c r="B455" s="62" t="s">
        <v>806</v>
      </c>
      <c r="C455" s="54" t="s">
        <v>930</v>
      </c>
      <c r="D455" s="84">
        <f>('R2023'!D455+'R2022'!D455+'R2021'!D455)/3</f>
        <v>0</v>
      </c>
      <c r="E455" s="84">
        <f>('R2023'!E455+'R2022'!E455+'R2021'!E455)/3</f>
        <v>0</v>
      </c>
      <c r="F455" s="84">
        <f>('R2023'!F455+'R2022'!F455+'R2021'!F455)/3</f>
        <v>0</v>
      </c>
      <c r="G455" s="84">
        <f>('R2023'!G455+'R2022'!G455+'R2021'!G455)/3</f>
        <v>6397.666666666667</v>
      </c>
      <c r="H455" s="84">
        <f>('R2023'!H455+'R2022'!H455+'R2021'!H455)/3</f>
        <v>0</v>
      </c>
      <c r="I455" s="84">
        <f>('R2023'!I455+'R2022'!I455+'R2021'!I455)/3</f>
        <v>0</v>
      </c>
      <c r="J455" s="71"/>
      <c r="K455" s="84">
        <f t="shared" si="16"/>
        <v>0</v>
      </c>
      <c r="L455" s="67">
        <f t="shared" si="17"/>
        <v>6397.666666666667</v>
      </c>
    </row>
    <row r="456" spans="1:12" hidden="1" outlineLevel="1" x14ac:dyDescent="0.35">
      <c r="A456" s="37" t="s">
        <v>807</v>
      </c>
      <c r="B456" s="62" t="s">
        <v>808</v>
      </c>
      <c r="C456" s="54" t="s">
        <v>930</v>
      </c>
      <c r="D456" s="84">
        <f>('R2023'!D456+'R2022'!D456+'R2021'!D456)/3</f>
        <v>0</v>
      </c>
      <c r="E456" s="84">
        <f>('R2023'!E456+'R2022'!E456+'R2021'!E456)/3</f>
        <v>0</v>
      </c>
      <c r="F456" s="84">
        <f>('R2023'!F456+'R2022'!F456+'R2021'!F456)/3</f>
        <v>0</v>
      </c>
      <c r="G456" s="84">
        <f>('R2023'!G456+'R2022'!G456+'R2021'!G456)/3</f>
        <v>0</v>
      </c>
      <c r="H456" s="84">
        <f>('R2023'!H456+'R2022'!H456+'R2021'!H456)/3</f>
        <v>0</v>
      </c>
      <c r="I456" s="84">
        <f>('R2023'!I456+'R2022'!I456+'R2021'!I456)/3</f>
        <v>0</v>
      </c>
      <c r="J456" s="71"/>
      <c r="K456" s="84">
        <f t="shared" si="16"/>
        <v>0</v>
      </c>
      <c r="L456" s="67">
        <f t="shared" si="17"/>
        <v>0</v>
      </c>
    </row>
    <row r="457" spans="1:12" hidden="1" outlineLevel="1" x14ac:dyDescent="0.35">
      <c r="A457" s="37" t="s">
        <v>809</v>
      </c>
      <c r="B457" s="62" t="s">
        <v>810</v>
      </c>
      <c r="C457" s="54" t="s">
        <v>930</v>
      </c>
      <c r="D457" s="84">
        <f>('R2023'!D457+'R2022'!D457+'R2021'!D457)/3</f>
        <v>0</v>
      </c>
      <c r="E457" s="84">
        <f>('R2023'!E457+'R2022'!E457+'R2021'!E457)/3</f>
        <v>0</v>
      </c>
      <c r="F457" s="84">
        <f>('R2023'!F457+'R2022'!F457+'R2021'!F457)/3</f>
        <v>0</v>
      </c>
      <c r="G457" s="84">
        <f>('R2023'!G457+'R2022'!G457+'R2021'!G457)/3</f>
        <v>0</v>
      </c>
      <c r="H457" s="84">
        <f>('R2023'!H457+'R2022'!H457+'R2021'!H457)/3</f>
        <v>0</v>
      </c>
      <c r="I457" s="84">
        <f>('R2023'!I457+'R2022'!I457+'R2021'!I457)/3</f>
        <v>197</v>
      </c>
      <c r="J457" s="71"/>
      <c r="K457" s="84">
        <f t="shared" si="16"/>
        <v>197</v>
      </c>
      <c r="L457" s="67">
        <f t="shared" si="17"/>
        <v>197</v>
      </c>
    </row>
    <row r="458" spans="1:12" hidden="1" outlineLevel="1" x14ac:dyDescent="0.35">
      <c r="A458" s="37" t="s">
        <v>811</v>
      </c>
      <c r="B458" s="62" t="s">
        <v>812</v>
      </c>
      <c r="C458" s="54" t="s">
        <v>930</v>
      </c>
      <c r="D458" s="84">
        <f>('R2023'!D458+'R2022'!D458+'R2021'!D458)/3</f>
        <v>0</v>
      </c>
      <c r="E458" s="84">
        <f>('R2023'!E458+'R2022'!E458+'R2021'!E458)/3</f>
        <v>0</v>
      </c>
      <c r="F458" s="84">
        <f>('R2023'!F458+'R2022'!F458+'R2021'!F458)/3</f>
        <v>0</v>
      </c>
      <c r="G458" s="84">
        <f>('R2023'!G458+'R2022'!G458+'R2021'!G458)/3</f>
        <v>0</v>
      </c>
      <c r="H458" s="84">
        <f>('R2023'!H458+'R2022'!H458+'R2021'!H458)/3</f>
        <v>0</v>
      </c>
      <c r="I458" s="84">
        <f>('R2023'!I458+'R2022'!I458+'R2021'!I458)/3</f>
        <v>0</v>
      </c>
      <c r="J458" s="71"/>
      <c r="K458" s="84">
        <f t="shared" si="16"/>
        <v>0</v>
      </c>
      <c r="L458" s="67">
        <f t="shared" si="17"/>
        <v>0</v>
      </c>
    </row>
    <row r="459" spans="1:12" hidden="1" outlineLevel="1" x14ac:dyDescent="0.35">
      <c r="A459" s="37" t="s">
        <v>813</v>
      </c>
      <c r="B459" s="62" t="s">
        <v>814</v>
      </c>
      <c r="C459" s="54" t="s">
        <v>930</v>
      </c>
      <c r="D459" s="84">
        <f>('R2023'!D459+'R2022'!D459+'R2021'!D459)/3</f>
        <v>0</v>
      </c>
      <c r="E459" s="84">
        <f>('R2023'!E459+'R2022'!E459+'R2021'!E459)/3</f>
        <v>0</v>
      </c>
      <c r="F459" s="84">
        <f>('R2023'!F459+'R2022'!F459+'R2021'!F459)/3</f>
        <v>0</v>
      </c>
      <c r="G459" s="84">
        <f>('R2023'!G459+'R2022'!G459+'R2021'!G459)/3</f>
        <v>1713</v>
      </c>
      <c r="H459" s="84">
        <f>('R2023'!H459+'R2022'!H459+'R2021'!H459)/3</f>
        <v>0</v>
      </c>
      <c r="I459" s="84">
        <f>('R2023'!I459+'R2022'!I459+'R2021'!I459)/3</f>
        <v>0</v>
      </c>
      <c r="J459" s="71"/>
      <c r="K459" s="84">
        <f t="shared" ref="K459:K496" si="18">J459+I459</f>
        <v>0</v>
      </c>
      <c r="L459" s="67">
        <f t="shared" ref="L459:L496" si="19">K459+D459+E459+F459+G459+H459</f>
        <v>1713</v>
      </c>
    </row>
    <row r="460" spans="1:12" hidden="1" outlineLevel="1" x14ac:dyDescent="0.35">
      <c r="A460" s="37" t="s">
        <v>815</v>
      </c>
      <c r="B460" s="62" t="s">
        <v>816</v>
      </c>
      <c r="C460" s="54" t="s">
        <v>930</v>
      </c>
      <c r="D460" s="84">
        <f>('R2023'!D460+'R2022'!D460+'R2021'!D460)/3</f>
        <v>0</v>
      </c>
      <c r="E460" s="84">
        <f>('R2023'!E460+'R2022'!E460+'R2021'!E460)/3</f>
        <v>0</v>
      </c>
      <c r="F460" s="84">
        <f>('R2023'!F460+'R2022'!F460+'R2021'!F460)/3</f>
        <v>0</v>
      </c>
      <c r="G460" s="84">
        <f>('R2023'!G460+'R2022'!G460+'R2021'!G460)/3</f>
        <v>0</v>
      </c>
      <c r="H460" s="84">
        <f>('R2023'!H460+'R2022'!H460+'R2021'!H460)/3</f>
        <v>0</v>
      </c>
      <c r="I460" s="84">
        <f>('R2023'!I460+'R2022'!I460+'R2021'!I460)/3</f>
        <v>0</v>
      </c>
      <c r="J460" s="71"/>
      <c r="K460" s="84">
        <f t="shared" si="18"/>
        <v>0</v>
      </c>
      <c r="L460" s="67">
        <f t="shared" si="19"/>
        <v>0</v>
      </c>
    </row>
    <row r="461" spans="1:12" hidden="1" outlineLevel="1" x14ac:dyDescent="0.35">
      <c r="A461" s="37" t="s">
        <v>817</v>
      </c>
      <c r="B461" s="62" t="s">
        <v>818</v>
      </c>
      <c r="C461" s="54" t="s">
        <v>930</v>
      </c>
      <c r="D461" s="84">
        <f>('R2023'!D461+'R2022'!D461+'R2021'!D461)/3</f>
        <v>9816</v>
      </c>
      <c r="E461" s="84">
        <f>('R2023'!E461+'R2022'!E461+'R2021'!E461)/3</f>
        <v>5524.666666666667</v>
      </c>
      <c r="F461" s="84">
        <f>('R2023'!F461+'R2022'!F461+'R2021'!F461)/3</f>
        <v>13022.333333333334</v>
      </c>
      <c r="G461" s="84">
        <f>('R2023'!G461+'R2022'!G461+'R2021'!G461)/3</f>
        <v>3998.3333333333335</v>
      </c>
      <c r="H461" s="84">
        <f>('R2023'!H461+'R2022'!H461+'R2021'!H461)/3</f>
        <v>0</v>
      </c>
      <c r="I461" s="84">
        <f>('R2023'!I461+'R2022'!I461+'R2021'!I461)/3</f>
        <v>3086.3333333333335</v>
      </c>
      <c r="J461" s="71"/>
      <c r="K461" s="84">
        <f t="shared" si="18"/>
        <v>3086.3333333333335</v>
      </c>
      <c r="L461" s="67">
        <f t="shared" si="19"/>
        <v>35447.666666666672</v>
      </c>
    </row>
    <row r="462" spans="1:12" hidden="1" outlineLevel="1" x14ac:dyDescent="0.35">
      <c r="A462" s="37" t="s">
        <v>819</v>
      </c>
      <c r="B462" s="62" t="s">
        <v>820</v>
      </c>
      <c r="C462" s="54" t="s">
        <v>930</v>
      </c>
      <c r="D462" s="84">
        <f>('R2023'!D462+'R2022'!D462+'R2021'!D462)/3</f>
        <v>0</v>
      </c>
      <c r="E462" s="84">
        <f>('R2023'!E462+'R2022'!E462+'R2021'!E462)/3</f>
        <v>0</v>
      </c>
      <c r="F462" s="84">
        <f>('R2023'!F462+'R2022'!F462+'R2021'!F462)/3</f>
        <v>5996.333333333333</v>
      </c>
      <c r="G462" s="84">
        <f>('R2023'!G462+'R2022'!G462+'R2021'!G462)/3</f>
        <v>0</v>
      </c>
      <c r="H462" s="84">
        <f>('R2023'!H462+'R2022'!H462+'R2021'!H462)/3</f>
        <v>20216</v>
      </c>
      <c r="I462" s="84">
        <f>('R2023'!I462+'R2022'!I462+'R2021'!I462)/3</f>
        <v>0</v>
      </c>
      <c r="J462" s="71"/>
      <c r="K462" s="84">
        <f t="shared" si="18"/>
        <v>0</v>
      </c>
      <c r="L462" s="67">
        <f t="shared" si="19"/>
        <v>26212.333333333332</v>
      </c>
    </row>
    <row r="463" spans="1:12" hidden="1" outlineLevel="1" x14ac:dyDescent="0.35">
      <c r="A463" s="37" t="s">
        <v>821</v>
      </c>
      <c r="B463" s="62" t="s">
        <v>822</v>
      </c>
      <c r="C463" s="54" t="s">
        <v>930</v>
      </c>
      <c r="D463" s="84">
        <f>('R2023'!D463+'R2022'!D463+'R2021'!D463)/3</f>
        <v>24974.666666666668</v>
      </c>
      <c r="E463" s="84">
        <f>('R2023'!E463+'R2022'!E463+'R2021'!E463)/3</f>
        <v>20682</v>
      </c>
      <c r="F463" s="84">
        <f>('R2023'!F463+'R2022'!F463+'R2021'!F463)/3</f>
        <v>71605.666666666672</v>
      </c>
      <c r="G463" s="84">
        <f>('R2023'!G463+'R2022'!G463+'R2021'!G463)/3</f>
        <v>56644.666666666664</v>
      </c>
      <c r="H463" s="84">
        <f>('R2023'!H463+'R2022'!H463+'R2021'!H463)/3</f>
        <v>79166.666666666672</v>
      </c>
      <c r="I463" s="84">
        <f>('R2023'!I463+'R2022'!I463+'R2021'!I463)/3</f>
        <v>1973</v>
      </c>
      <c r="J463" s="71"/>
      <c r="K463" s="84">
        <f t="shared" si="18"/>
        <v>1973</v>
      </c>
      <c r="L463" s="67">
        <f t="shared" si="19"/>
        <v>255046.66666666669</v>
      </c>
    </row>
    <row r="464" spans="1:12" hidden="1" outlineLevel="1" x14ac:dyDescent="0.35">
      <c r="A464" s="37" t="s">
        <v>823</v>
      </c>
      <c r="B464" s="62" t="s">
        <v>824</v>
      </c>
      <c r="C464" s="54" t="s">
        <v>930</v>
      </c>
      <c r="D464" s="84">
        <f>('R2023'!D464+'R2022'!D464+'R2021'!D464)/3</f>
        <v>0</v>
      </c>
      <c r="E464" s="84">
        <f>('R2023'!E464+'R2022'!E464+'R2021'!E464)/3</f>
        <v>0</v>
      </c>
      <c r="F464" s="84">
        <f>('R2023'!F464+'R2022'!F464+'R2021'!F464)/3</f>
        <v>23.333333333333332</v>
      </c>
      <c r="G464" s="84">
        <f>('R2023'!G464+'R2022'!G464+'R2021'!G464)/3</f>
        <v>2</v>
      </c>
      <c r="H464" s="84">
        <f>('R2023'!H464+'R2022'!H464+'R2021'!H464)/3</f>
        <v>-2.6666666666666665</v>
      </c>
      <c r="I464" s="84">
        <f>('R2023'!I464+'R2022'!I464+'R2021'!I464)/3</f>
        <v>0</v>
      </c>
      <c r="J464" s="71"/>
      <c r="K464" s="84">
        <f t="shared" si="18"/>
        <v>0</v>
      </c>
      <c r="L464" s="67">
        <f t="shared" si="19"/>
        <v>22.666666666666664</v>
      </c>
    </row>
    <row r="465" spans="1:12" hidden="1" outlineLevel="1" x14ac:dyDescent="0.35">
      <c r="A465" s="37" t="s">
        <v>825</v>
      </c>
      <c r="B465" s="62" t="s">
        <v>826</v>
      </c>
      <c r="C465" s="54" t="s">
        <v>930</v>
      </c>
      <c r="D465" s="84">
        <f>('R2023'!D465+'R2022'!D465+'R2021'!D465)/3</f>
        <v>0</v>
      </c>
      <c r="E465" s="84">
        <f>('R2023'!E465+'R2022'!E465+'R2021'!E465)/3</f>
        <v>0</v>
      </c>
      <c r="F465" s="84">
        <f>('R2023'!F465+'R2022'!F465+'R2021'!F465)/3</f>
        <v>0</v>
      </c>
      <c r="G465" s="84">
        <f>('R2023'!G465+'R2022'!G465+'R2021'!G465)/3</f>
        <v>0</v>
      </c>
      <c r="H465" s="84">
        <f>('R2023'!H465+'R2022'!H465+'R2021'!H465)/3</f>
        <v>13454</v>
      </c>
      <c r="I465" s="84">
        <f>('R2023'!I465+'R2022'!I465+'R2021'!I465)/3</f>
        <v>0</v>
      </c>
      <c r="J465" s="71"/>
      <c r="K465" s="84">
        <f t="shared" si="18"/>
        <v>0</v>
      </c>
      <c r="L465" s="67">
        <f t="shared" si="19"/>
        <v>13454</v>
      </c>
    </row>
    <row r="466" spans="1:12" hidden="1" outlineLevel="1" x14ac:dyDescent="0.35">
      <c r="A466" s="37" t="s">
        <v>827</v>
      </c>
      <c r="B466" s="62" t="s">
        <v>828</v>
      </c>
      <c r="C466" s="54" t="s">
        <v>930</v>
      </c>
      <c r="D466" s="84">
        <f>('R2023'!D466+'R2022'!D466+'R2021'!D466)/3</f>
        <v>976</v>
      </c>
      <c r="E466" s="84">
        <f>('R2023'!E466+'R2022'!E466+'R2021'!E466)/3</f>
        <v>9351</v>
      </c>
      <c r="F466" s="84">
        <f>('R2023'!F466+'R2022'!F466+'R2021'!F466)/3</f>
        <v>17508.333333333332</v>
      </c>
      <c r="G466" s="84">
        <f>('R2023'!G466+'R2022'!G466+'R2021'!G466)/3</f>
        <v>8030.666666666667</v>
      </c>
      <c r="H466" s="84">
        <f>('R2023'!H466+'R2022'!H466+'R2021'!H466)/3</f>
        <v>9689</v>
      </c>
      <c r="I466" s="84">
        <f>('R2023'!I466+'R2022'!I466+'R2021'!I466)/3</f>
        <v>4071.6666666666665</v>
      </c>
      <c r="J466" s="71"/>
      <c r="K466" s="84">
        <f t="shared" si="18"/>
        <v>4071.6666666666665</v>
      </c>
      <c r="L466" s="67">
        <f t="shared" si="19"/>
        <v>49626.666666666664</v>
      </c>
    </row>
    <row r="467" spans="1:12" hidden="1" outlineLevel="1" x14ac:dyDescent="0.35">
      <c r="A467" s="37" t="s">
        <v>829</v>
      </c>
      <c r="B467" s="62" t="s">
        <v>830</v>
      </c>
      <c r="C467" s="54" t="s">
        <v>930</v>
      </c>
      <c r="D467" s="84">
        <f>('R2023'!D467+'R2022'!D467+'R2021'!D467)/3</f>
        <v>0</v>
      </c>
      <c r="E467" s="84">
        <f>('R2023'!E467+'R2022'!E467+'R2021'!E467)/3</f>
        <v>0</v>
      </c>
      <c r="F467" s="84">
        <f>('R2023'!F467+'R2022'!F467+'R2021'!F467)/3</f>
        <v>116897.66666666667</v>
      </c>
      <c r="G467" s="84">
        <f>('R2023'!G467+'R2022'!G467+'R2021'!G467)/3</f>
        <v>-40.333333333333336</v>
      </c>
      <c r="H467" s="84">
        <f>('R2023'!H467+'R2022'!H467+'R2021'!H467)/3</f>
        <v>77140.666666666672</v>
      </c>
      <c r="I467" s="84">
        <f>('R2023'!I467+'R2022'!I467+'R2021'!I467)/3</f>
        <v>1445</v>
      </c>
      <c r="J467" s="71"/>
      <c r="K467" s="84">
        <f t="shared" si="18"/>
        <v>1445</v>
      </c>
      <c r="L467" s="67">
        <f t="shared" si="19"/>
        <v>195443</v>
      </c>
    </row>
    <row r="468" spans="1:12" hidden="1" outlineLevel="1" x14ac:dyDescent="0.35">
      <c r="A468" s="37" t="s">
        <v>831</v>
      </c>
      <c r="B468" s="62" t="s">
        <v>832</v>
      </c>
      <c r="C468" s="54" t="s">
        <v>930</v>
      </c>
      <c r="D468" s="84">
        <f>('R2023'!D468+'R2022'!D468+'R2021'!D468)/3</f>
        <v>0</v>
      </c>
      <c r="E468" s="84">
        <f>('R2023'!E468+'R2022'!E468+'R2021'!E468)/3</f>
        <v>0</v>
      </c>
      <c r="F468" s="84">
        <f>('R2023'!F468+'R2022'!F468+'R2021'!F468)/3</f>
        <v>0</v>
      </c>
      <c r="G468" s="84">
        <f>('R2023'!G468+'R2022'!G468+'R2021'!G468)/3</f>
        <v>0</v>
      </c>
      <c r="H468" s="84">
        <f>('R2023'!H468+'R2022'!H468+'R2021'!H468)/3</f>
        <v>0</v>
      </c>
      <c r="I468" s="84">
        <f>('R2023'!I468+'R2022'!I468+'R2021'!I468)/3</f>
        <v>0</v>
      </c>
      <c r="J468" s="71"/>
      <c r="K468" s="84">
        <f t="shared" si="18"/>
        <v>0</v>
      </c>
      <c r="L468" s="67">
        <f t="shared" si="19"/>
        <v>0</v>
      </c>
    </row>
    <row r="469" spans="1:12" hidden="1" outlineLevel="1" x14ac:dyDescent="0.35">
      <c r="A469" s="37" t="s">
        <v>833</v>
      </c>
      <c r="B469" s="62" t="s">
        <v>834</v>
      </c>
      <c r="C469" s="54" t="s">
        <v>930</v>
      </c>
      <c r="D469" s="84">
        <f>('R2023'!D469+'R2022'!D469+'R2021'!D469)/3</f>
        <v>0</v>
      </c>
      <c r="E469" s="84">
        <f>('R2023'!E469+'R2022'!E469+'R2021'!E469)/3</f>
        <v>0</v>
      </c>
      <c r="F469" s="84">
        <f>('R2023'!F469+'R2022'!F469+'R2021'!F469)/3</f>
        <v>0</v>
      </c>
      <c r="G469" s="84">
        <f>('R2023'!G469+'R2022'!G469+'R2021'!G469)/3</f>
        <v>0</v>
      </c>
      <c r="H469" s="84">
        <f>('R2023'!H469+'R2022'!H469+'R2021'!H469)/3</f>
        <v>0</v>
      </c>
      <c r="I469" s="84">
        <f>('R2023'!I469+'R2022'!I469+'R2021'!I469)/3</f>
        <v>0</v>
      </c>
      <c r="J469" s="71"/>
      <c r="K469" s="84">
        <f t="shared" si="18"/>
        <v>0</v>
      </c>
      <c r="L469" s="67">
        <f t="shared" si="19"/>
        <v>0</v>
      </c>
    </row>
    <row r="470" spans="1:12" hidden="1" outlineLevel="1" x14ac:dyDescent="0.35">
      <c r="A470" s="37" t="s">
        <v>835</v>
      </c>
      <c r="B470" s="62" t="s">
        <v>836</v>
      </c>
      <c r="C470" s="79" t="s">
        <v>930</v>
      </c>
      <c r="D470" s="84">
        <f>('R2023'!D470+'R2022'!D470+'R2021'!D470)/3</f>
        <v>0</v>
      </c>
      <c r="E470" s="84">
        <f>('R2023'!E470+'R2022'!E470+'R2021'!E470)/3</f>
        <v>0</v>
      </c>
      <c r="F470" s="84">
        <f>('R2023'!F470+'R2022'!F470+'R2021'!F470)/3</f>
        <v>0</v>
      </c>
      <c r="G470" s="84">
        <f>('R2023'!G470+'R2022'!G470+'R2021'!G470)/3</f>
        <v>0</v>
      </c>
      <c r="H470" s="84">
        <f>('R2023'!H470+'R2022'!H470+'R2021'!H470)/3</f>
        <v>0</v>
      </c>
      <c r="I470" s="84">
        <f>('R2023'!I470+'R2022'!I470+'R2021'!I470)/3</f>
        <v>0</v>
      </c>
      <c r="J470" s="71"/>
      <c r="K470" s="84">
        <f t="shared" si="18"/>
        <v>0</v>
      </c>
      <c r="L470" s="67">
        <f t="shared" si="19"/>
        <v>0</v>
      </c>
    </row>
    <row r="471" spans="1:12" hidden="1" outlineLevel="1" x14ac:dyDescent="0.35">
      <c r="A471" s="37"/>
      <c r="B471" s="167" t="s">
        <v>1307</v>
      </c>
      <c r="C471" s="168"/>
      <c r="D471" s="119"/>
      <c r="E471" s="119"/>
      <c r="F471" s="119">
        <f>-F398</f>
        <v>-219081</v>
      </c>
      <c r="G471" s="119">
        <f t="shared" ref="G471:H471" si="20">-G398</f>
        <v>-66578.333333333328</v>
      </c>
      <c r="H471" s="119">
        <f t="shared" si="20"/>
        <v>-99521.333333333328</v>
      </c>
      <c r="I471" s="119"/>
      <c r="J471" s="165">
        <f>-(F471+G471+H471)</f>
        <v>385180.66666666663</v>
      </c>
      <c r="K471" s="119"/>
      <c r="L471" s="124"/>
    </row>
    <row r="472" spans="1:12" s="12" customFormat="1" x14ac:dyDescent="0.35">
      <c r="A472" s="52"/>
      <c r="B472" s="72" t="s">
        <v>1290</v>
      </c>
      <c r="C472" s="53"/>
      <c r="D472" s="154">
        <f>('R2023'!D472+'R2022'!D472+'R2021'!D472)/3</f>
        <v>1505791</v>
      </c>
      <c r="E472" s="154">
        <f>('R2023'!E472+'R2022'!E472+'R2021'!E472)/3</f>
        <v>856289.66666666663</v>
      </c>
      <c r="F472" s="154">
        <f>('R2023'!F472+'R2022'!F472+'R2021'!F472)/3</f>
        <v>3293979.3333333335</v>
      </c>
      <c r="G472" s="154">
        <f>('R2023'!G472+'R2022'!G472+'R2021'!G472)/3</f>
        <v>2739799</v>
      </c>
      <c r="H472" s="154">
        <f>('R2023'!H472+'R2022'!H472+'R2021'!H472)/3</f>
        <v>3091842.6666666665</v>
      </c>
      <c r="I472" s="154">
        <f>('R2023'!I472+'R2022'!I472+'R2021'!I472)/3</f>
        <v>1436708.6666666667</v>
      </c>
      <c r="J472" s="154"/>
      <c r="K472" s="154">
        <f>('R2023'!K472+'R2022'!K472+'R2021'!K472)/3</f>
        <v>5488947.333333333</v>
      </c>
      <c r="L472" s="111">
        <f t="shared" si="19"/>
        <v>16976649</v>
      </c>
    </row>
    <row r="473" spans="1:12" s="12" customFormat="1" x14ac:dyDescent="0.35">
      <c r="A473" s="56"/>
      <c r="B473" s="81" t="s">
        <v>1287</v>
      </c>
      <c r="C473" s="58"/>
      <c r="D473" s="155">
        <f>('R2023'!D473+'R2022'!D473+'R2021'!D473)/3</f>
        <v>-99830.904849067956</v>
      </c>
      <c r="E473" s="155">
        <f>('R2023'!E473+'R2022'!E473+'R2021'!E473)/3</f>
        <v>234227.28924458995</v>
      </c>
      <c r="F473" s="155">
        <f>('R2023'!F473+'R2022'!F473+'R2021'!F473)/3</f>
        <v>-5410.670141737598</v>
      </c>
      <c r="G473" s="155">
        <f>('R2023'!G473+'R2022'!G473+'R2021'!G473)/3</f>
        <v>712830.65706996957</v>
      </c>
      <c r="H473" s="155">
        <f>('R2023'!H473+'R2022'!H473+'R2021'!H473)/3</f>
        <v>140861.96200957987</v>
      </c>
      <c r="I473" s="155">
        <f>('R2023'!I473+'R2022'!I473+'R2021'!I473)/3</f>
        <v>40178.666666666664</v>
      </c>
      <c r="J473" s="155"/>
      <c r="K473" s="155">
        <f>('R2023'!K473+'R2022'!K473+'R2021'!K473)/3</f>
        <v>95263</v>
      </c>
      <c r="L473" s="110">
        <f t="shared" si="19"/>
        <v>1077941.333333334</v>
      </c>
    </row>
    <row r="474" spans="1:12" collapsed="1" x14ac:dyDescent="0.35">
      <c r="A474" s="57"/>
      <c r="B474" s="62" t="s">
        <v>931</v>
      </c>
      <c r="C474" s="79"/>
      <c r="D474" s="84">
        <f>('R2023'!D474+'R2022'!D474+'R2021'!D474)/3</f>
        <v>368.66666666666669</v>
      </c>
      <c r="E474" s="84">
        <f>('R2023'!E474+'R2022'!E474+'R2021'!E474)/3</f>
        <v>21712.666666666668</v>
      </c>
      <c r="F474" s="84">
        <f>('R2023'!F474+'R2022'!F474+'R2021'!F474)/3</f>
        <v>40950.333333333336</v>
      </c>
      <c r="G474" s="84">
        <f>('R2023'!G474+'R2022'!G474+'R2021'!G474)/3</f>
        <v>38806.666666666664</v>
      </c>
      <c r="H474" s="84">
        <f>('R2023'!H474+'R2022'!H474+'R2021'!H474)/3</f>
        <v>0</v>
      </c>
      <c r="I474" s="84">
        <f>('R2023'!I474+'R2022'!I474+'R2021'!I474)/3</f>
        <v>0</v>
      </c>
      <c r="J474" s="71"/>
      <c r="K474" s="84">
        <f t="shared" si="18"/>
        <v>0</v>
      </c>
      <c r="L474" s="67">
        <f t="shared" si="19"/>
        <v>101838.33333333334</v>
      </c>
    </row>
    <row r="475" spans="1:12" hidden="1" outlineLevel="1" x14ac:dyDescent="0.35">
      <c r="A475" s="37" t="s">
        <v>837</v>
      </c>
      <c r="B475" s="62" t="s">
        <v>838</v>
      </c>
      <c r="C475" s="54" t="s">
        <v>931</v>
      </c>
      <c r="D475" s="84">
        <f>('R2023'!D475+'R2022'!D475+'R2021'!D475)/3</f>
        <v>368.66666666666669</v>
      </c>
      <c r="E475" s="84">
        <f>('R2023'!E475+'R2022'!E475+'R2021'!E475)/3</f>
        <v>19349.333333333332</v>
      </c>
      <c r="F475" s="84">
        <f>('R2023'!F475+'R2022'!F475+'R2021'!F475)/3</f>
        <v>40950.333333333336</v>
      </c>
      <c r="G475" s="84">
        <f>('R2023'!G475+'R2022'!G475+'R2021'!G475)/3</f>
        <v>38806.666666666664</v>
      </c>
      <c r="H475" s="84">
        <f>('R2023'!H475+'R2022'!H475+'R2021'!H475)/3</f>
        <v>0</v>
      </c>
      <c r="I475" s="84">
        <f>('R2023'!I475+'R2022'!I475+'R2021'!I475)/3</f>
        <v>0</v>
      </c>
      <c r="J475" s="71"/>
      <c r="K475" s="84">
        <f t="shared" si="18"/>
        <v>0</v>
      </c>
      <c r="L475" s="67">
        <f t="shared" si="19"/>
        <v>99475</v>
      </c>
    </row>
    <row r="476" spans="1:12" hidden="1" outlineLevel="1" x14ac:dyDescent="0.35">
      <c r="A476" s="37" t="s">
        <v>839</v>
      </c>
      <c r="B476" s="62" t="s">
        <v>840</v>
      </c>
      <c r="C476" s="54" t="s">
        <v>931</v>
      </c>
      <c r="D476" s="84">
        <f>('R2023'!D476+'R2022'!D476+'R2021'!D476)/3</f>
        <v>0</v>
      </c>
      <c r="E476" s="84">
        <f>('R2023'!E476+'R2022'!E476+'R2021'!E476)/3</f>
        <v>0</v>
      </c>
      <c r="F476" s="84">
        <f>('R2023'!F476+'R2022'!F476+'R2021'!F476)/3</f>
        <v>0</v>
      </c>
      <c r="G476" s="84">
        <f>('R2023'!G476+'R2022'!G476+'R2021'!G476)/3</f>
        <v>0</v>
      </c>
      <c r="H476" s="84">
        <f>('R2023'!H476+'R2022'!H476+'R2021'!H476)/3</f>
        <v>0</v>
      </c>
      <c r="I476" s="84">
        <f>('R2023'!I476+'R2022'!I476+'R2021'!I476)/3</f>
        <v>0</v>
      </c>
      <c r="J476" s="71"/>
      <c r="K476" s="84">
        <f t="shared" si="18"/>
        <v>0</v>
      </c>
      <c r="L476" s="67">
        <f t="shared" si="19"/>
        <v>0</v>
      </c>
    </row>
    <row r="477" spans="1:12" hidden="1" outlineLevel="1" x14ac:dyDescent="0.35">
      <c r="A477" s="37" t="s">
        <v>841</v>
      </c>
      <c r="B477" s="62" t="s">
        <v>842</v>
      </c>
      <c r="C477" s="54" t="s">
        <v>931</v>
      </c>
      <c r="D477" s="84">
        <f>('R2023'!D477+'R2022'!D477+'R2021'!D477)/3</f>
        <v>0</v>
      </c>
      <c r="E477" s="84">
        <f>('R2023'!E477+'R2022'!E477+'R2021'!E477)/3</f>
        <v>0</v>
      </c>
      <c r="F477" s="84">
        <f>('R2023'!F477+'R2022'!F477+'R2021'!F477)/3</f>
        <v>0</v>
      </c>
      <c r="G477" s="84">
        <f>('R2023'!G477+'R2022'!G477+'R2021'!G477)/3</f>
        <v>0</v>
      </c>
      <c r="H477" s="84">
        <f>('R2023'!H477+'R2022'!H477+'R2021'!H477)/3</f>
        <v>0</v>
      </c>
      <c r="I477" s="84">
        <f>('R2023'!I477+'R2022'!I477+'R2021'!I477)/3</f>
        <v>0</v>
      </c>
      <c r="J477" s="71"/>
      <c r="K477" s="84">
        <f t="shared" si="18"/>
        <v>0</v>
      </c>
      <c r="L477" s="67">
        <f t="shared" si="19"/>
        <v>0</v>
      </c>
    </row>
    <row r="478" spans="1:12" hidden="1" outlineLevel="1" x14ac:dyDescent="0.35">
      <c r="A478" s="48" t="s">
        <v>843</v>
      </c>
      <c r="B478" s="69" t="s">
        <v>844</v>
      </c>
      <c r="C478" s="54" t="s">
        <v>931</v>
      </c>
      <c r="D478" s="84">
        <f>('R2023'!D478+'R2022'!D478+'R2021'!D478)/3</f>
        <v>0</v>
      </c>
      <c r="E478" s="84">
        <f>('R2023'!E478+'R2022'!E478+'R2021'!E478)/3</f>
        <v>0</v>
      </c>
      <c r="F478" s="84">
        <f>('R2023'!F478+'R2022'!F478+'R2021'!F478)/3</f>
        <v>0</v>
      </c>
      <c r="G478" s="84">
        <f>('R2023'!G478+'R2022'!G478+'R2021'!G478)/3</f>
        <v>0</v>
      </c>
      <c r="H478" s="84">
        <f>('R2023'!H478+'R2022'!H478+'R2021'!H478)/3</f>
        <v>0</v>
      </c>
      <c r="I478" s="84">
        <f>('R2023'!I478+'R2022'!I478+'R2021'!I478)/3</f>
        <v>0</v>
      </c>
      <c r="J478" s="71"/>
      <c r="K478" s="84">
        <f t="shared" si="18"/>
        <v>0</v>
      </c>
      <c r="L478" s="67">
        <f t="shared" si="19"/>
        <v>0</v>
      </c>
    </row>
    <row r="479" spans="1:12" hidden="1" outlineLevel="1" x14ac:dyDescent="0.35">
      <c r="A479" s="37" t="s">
        <v>847</v>
      </c>
      <c r="B479" s="62" t="s">
        <v>848</v>
      </c>
      <c r="C479" s="54" t="s">
        <v>931</v>
      </c>
      <c r="D479" s="84">
        <f>('R2023'!D479+'R2022'!D479+'R2021'!D479)/3</f>
        <v>0</v>
      </c>
      <c r="E479" s="84">
        <f>('R2023'!E479+'R2022'!E479+'R2021'!E479)/3</f>
        <v>2363.3333333333335</v>
      </c>
      <c r="F479" s="84">
        <f>('R2023'!F479+'R2022'!F479+'R2021'!F479)/3</f>
        <v>0</v>
      </c>
      <c r="G479" s="84">
        <f>('R2023'!G479+'R2022'!G479+'R2021'!G479)/3</f>
        <v>0</v>
      </c>
      <c r="H479" s="84">
        <f>('R2023'!H479+'R2022'!H479+'R2021'!H479)/3</f>
        <v>0</v>
      </c>
      <c r="I479" s="84">
        <f>('R2023'!I479+'R2022'!I479+'R2021'!I479)/3</f>
        <v>0</v>
      </c>
      <c r="J479" s="71"/>
      <c r="K479" s="84">
        <f t="shared" si="18"/>
        <v>0</v>
      </c>
      <c r="L479" s="67">
        <f t="shared" si="19"/>
        <v>2363.3333333333335</v>
      </c>
    </row>
    <row r="480" spans="1:12" x14ac:dyDescent="0.35">
      <c r="A480" s="37"/>
      <c r="B480" s="62" t="s">
        <v>932</v>
      </c>
      <c r="C480" s="65"/>
      <c r="D480" s="84">
        <f>('R2023'!D480+'R2022'!D480+'R2021'!D480)/3</f>
        <v>0</v>
      </c>
      <c r="E480" s="84">
        <f>('R2023'!E480+'R2022'!E480+'R2021'!E480)/3</f>
        <v>0</v>
      </c>
      <c r="F480" s="84">
        <f>('R2023'!F480+'R2022'!F480+'R2021'!F480)/3</f>
        <v>0</v>
      </c>
      <c r="G480" s="84">
        <f>('R2023'!G480+'R2022'!G480+'R2021'!G480)/3</f>
        <v>0</v>
      </c>
      <c r="H480" s="84">
        <f>('R2023'!H480+'R2022'!H480+'R2021'!H480)/3</f>
        <v>0</v>
      </c>
      <c r="I480" s="84">
        <f>('R2023'!I480+'R2022'!I480+'R2021'!I480)/3</f>
        <v>0</v>
      </c>
      <c r="J480" s="71"/>
      <c r="K480" s="84">
        <f t="shared" si="18"/>
        <v>0</v>
      </c>
      <c r="L480" s="67">
        <f t="shared" si="19"/>
        <v>0</v>
      </c>
    </row>
    <row r="481" spans="1:12" outlineLevel="1" x14ac:dyDescent="0.35">
      <c r="A481" s="37" t="s">
        <v>845</v>
      </c>
      <c r="B481" s="62" t="s">
        <v>846</v>
      </c>
      <c r="C481" s="54" t="s">
        <v>932</v>
      </c>
      <c r="D481" s="84">
        <f>('R2023'!D481+'R2022'!D481+'R2021'!D481)/3</f>
        <v>0</v>
      </c>
      <c r="E481" s="84">
        <f>('R2023'!E481+'R2022'!E481+'R2021'!E481)/3</f>
        <v>0</v>
      </c>
      <c r="F481" s="84">
        <f>('R2023'!F481+'R2022'!F481+'R2021'!F481)/3</f>
        <v>0</v>
      </c>
      <c r="G481" s="84">
        <f>('R2023'!G481+'R2022'!G481+'R2021'!G481)/3</f>
        <v>0</v>
      </c>
      <c r="H481" s="84">
        <f>('R2023'!H481+'R2022'!H481+'R2021'!H481)/3</f>
        <v>0</v>
      </c>
      <c r="I481" s="84">
        <f>('R2023'!I481+'R2022'!I481+'R2021'!I481)/3</f>
        <v>0</v>
      </c>
      <c r="J481" s="71"/>
      <c r="K481" s="84">
        <f t="shared" si="18"/>
        <v>0</v>
      </c>
      <c r="L481" s="67">
        <f t="shared" si="19"/>
        <v>0</v>
      </c>
    </row>
    <row r="482" spans="1:12" outlineLevel="1" x14ac:dyDescent="0.35">
      <c r="A482" s="37" t="s">
        <v>849</v>
      </c>
      <c r="B482" s="62" t="s">
        <v>850</v>
      </c>
      <c r="C482" s="54" t="s">
        <v>932</v>
      </c>
      <c r="D482" s="84">
        <f>('R2023'!D482+'R2022'!D482+'R2021'!D482)/3</f>
        <v>0</v>
      </c>
      <c r="E482" s="84">
        <f>('R2023'!E482+'R2022'!E482+'R2021'!E482)/3</f>
        <v>0</v>
      </c>
      <c r="F482" s="84">
        <f>('R2023'!F482+'R2022'!F482+'R2021'!F482)/3</f>
        <v>0</v>
      </c>
      <c r="G482" s="84">
        <f>('R2023'!G482+'R2022'!G482+'R2021'!G482)/3</f>
        <v>0</v>
      </c>
      <c r="H482" s="84">
        <f>('R2023'!H482+'R2022'!H482+'R2021'!H482)/3</f>
        <v>0</v>
      </c>
      <c r="I482" s="84">
        <f>('R2023'!I482+'R2022'!I482+'R2021'!I482)/3</f>
        <v>0</v>
      </c>
      <c r="J482" s="71"/>
      <c r="K482" s="84">
        <f t="shared" si="18"/>
        <v>0</v>
      </c>
      <c r="L482" s="67">
        <f t="shared" si="19"/>
        <v>0</v>
      </c>
    </row>
    <row r="483" spans="1:12" collapsed="1" x14ac:dyDescent="0.35">
      <c r="A483" s="37"/>
      <c r="B483" s="62" t="s">
        <v>933</v>
      </c>
      <c r="C483" s="54"/>
      <c r="D483" s="84">
        <f>('R2023'!D483+'R2022'!D483+'R2021'!D483)/3</f>
        <v>0</v>
      </c>
      <c r="E483" s="84">
        <f>('R2023'!E483+'R2022'!E483+'R2021'!E483)/3</f>
        <v>0</v>
      </c>
      <c r="F483" s="84">
        <f>('R2023'!F483+'R2022'!F483+'R2021'!F483)/3</f>
        <v>0</v>
      </c>
      <c r="G483" s="84">
        <f>('R2023'!G483+'R2022'!G483+'R2021'!G483)/3</f>
        <v>0</v>
      </c>
      <c r="H483" s="84">
        <f>('R2023'!H483+'R2022'!H483+'R2021'!H483)/3</f>
        <v>0</v>
      </c>
      <c r="I483" s="84">
        <f>('R2023'!I483+'R2022'!I483+'R2021'!I483)/3</f>
        <v>0</v>
      </c>
      <c r="J483" s="71"/>
      <c r="K483" s="84">
        <f t="shared" si="18"/>
        <v>0</v>
      </c>
      <c r="L483" s="67">
        <f t="shared" si="19"/>
        <v>0</v>
      </c>
    </row>
    <row r="484" spans="1:12" hidden="1" outlineLevel="1" x14ac:dyDescent="0.35">
      <c r="A484" s="37" t="s">
        <v>851</v>
      </c>
      <c r="B484" s="62" t="s">
        <v>852</v>
      </c>
      <c r="C484" s="54" t="s">
        <v>933</v>
      </c>
      <c r="D484" s="84">
        <f>('R2023'!D484+'R2022'!D484+'R2021'!D484)/3</f>
        <v>0</v>
      </c>
      <c r="E484" s="84">
        <f>('R2023'!E484+'R2022'!E484+'R2021'!E484)/3</f>
        <v>0</v>
      </c>
      <c r="F484" s="84">
        <f>('R2023'!F484+'R2022'!F484+'R2021'!F484)/3</f>
        <v>0</v>
      </c>
      <c r="G484" s="84">
        <f>('R2023'!G484+'R2022'!G484+'R2021'!G484)/3</f>
        <v>0</v>
      </c>
      <c r="H484" s="84">
        <f>('R2023'!H484+'R2022'!H484+'R2021'!H484)/3</f>
        <v>0</v>
      </c>
      <c r="I484" s="84">
        <f>('R2023'!I484+'R2022'!I484+'R2021'!I484)/3</f>
        <v>0</v>
      </c>
      <c r="J484" s="71">
        <f t="shared" ref="J484:J485" si="21">D484+E484+F484+G484+H484</f>
        <v>0</v>
      </c>
      <c r="K484" s="84">
        <f t="shared" si="18"/>
        <v>0</v>
      </c>
      <c r="L484" s="67">
        <f t="shared" si="19"/>
        <v>0</v>
      </c>
    </row>
    <row r="485" spans="1:12" hidden="1" outlineLevel="1" x14ac:dyDescent="0.35">
      <c r="A485" s="37" t="s">
        <v>853</v>
      </c>
      <c r="B485" s="62" t="s">
        <v>854</v>
      </c>
      <c r="C485" s="54" t="s">
        <v>933</v>
      </c>
      <c r="D485" s="84">
        <f>('R2023'!D485+'R2022'!D485+'R2021'!D485)/3</f>
        <v>0</v>
      </c>
      <c r="E485" s="84">
        <f>('R2023'!E485+'R2022'!E485+'R2021'!E485)/3</f>
        <v>0</v>
      </c>
      <c r="F485" s="84">
        <f>('R2023'!F485+'R2022'!F485+'R2021'!F485)/3</f>
        <v>0</v>
      </c>
      <c r="G485" s="84">
        <f>('R2023'!G485+'R2022'!G485+'R2021'!G485)/3</f>
        <v>0</v>
      </c>
      <c r="H485" s="84">
        <f>('R2023'!H485+'R2022'!H485+'R2021'!H485)/3</f>
        <v>0</v>
      </c>
      <c r="I485" s="84">
        <f>('R2023'!I485+'R2022'!I485+'R2021'!I485)/3</f>
        <v>0</v>
      </c>
      <c r="J485" s="71">
        <f t="shared" si="21"/>
        <v>0</v>
      </c>
      <c r="K485" s="84">
        <f t="shared" si="18"/>
        <v>0</v>
      </c>
      <c r="L485" s="67">
        <f t="shared" si="19"/>
        <v>0</v>
      </c>
    </row>
    <row r="486" spans="1:12" collapsed="1" x14ac:dyDescent="0.35">
      <c r="A486" s="37"/>
      <c r="B486" s="62" t="s">
        <v>934</v>
      </c>
      <c r="C486" s="54"/>
      <c r="D486" s="84">
        <f>('R2023'!D486+'R2022'!D486+'R2021'!D486)/3</f>
        <v>1216</v>
      </c>
      <c r="E486" s="84">
        <f>('R2023'!E486+'R2022'!E486+'R2021'!E486)/3</f>
        <v>6327.666666666667</v>
      </c>
      <c r="F486" s="84">
        <f>('R2023'!F486+'R2022'!F486+'R2021'!F486)/3</f>
        <v>58</v>
      </c>
      <c r="G486" s="84">
        <f>('R2023'!G486+'R2022'!G486+'R2021'!G486)/3</f>
        <v>7072.666666666667</v>
      </c>
      <c r="H486" s="84">
        <f>('R2023'!H486+'R2022'!H486+'R2021'!H486)/3</f>
        <v>0</v>
      </c>
      <c r="I486" s="84">
        <f>('R2023'!I486+'R2022'!I486+'R2021'!I486)/3</f>
        <v>0</v>
      </c>
      <c r="J486" s="71"/>
      <c r="K486" s="84">
        <f t="shared" si="18"/>
        <v>0</v>
      </c>
      <c r="L486" s="67">
        <f t="shared" si="19"/>
        <v>14674.333333333334</v>
      </c>
    </row>
    <row r="487" spans="1:12" hidden="1" outlineLevel="1" x14ac:dyDescent="0.35">
      <c r="A487" s="37" t="s">
        <v>855</v>
      </c>
      <c r="B487" s="62" t="s">
        <v>856</v>
      </c>
      <c r="C487" s="54" t="s">
        <v>934</v>
      </c>
      <c r="D487" s="84">
        <f>('R2023'!D487+'R2022'!D487+'R2021'!D487)/3</f>
        <v>1216</v>
      </c>
      <c r="E487" s="84">
        <f>('R2023'!E487+'R2022'!E487+'R2021'!E487)/3</f>
        <v>6327.666666666667</v>
      </c>
      <c r="F487" s="84">
        <f>('R2023'!F487+'R2022'!F487+'R2021'!F487)/3</f>
        <v>58</v>
      </c>
      <c r="G487" s="84">
        <f>('R2023'!G487+'R2022'!G487+'R2021'!G487)/3</f>
        <v>3</v>
      </c>
      <c r="H487" s="84">
        <f>('R2023'!H487+'R2022'!H487+'R2021'!H487)/3</f>
        <v>0</v>
      </c>
      <c r="I487" s="84">
        <f>('R2023'!I487+'R2022'!I487+'R2021'!I487)/3</f>
        <v>0</v>
      </c>
      <c r="J487" s="71"/>
      <c r="K487" s="84">
        <f t="shared" si="18"/>
        <v>0</v>
      </c>
      <c r="L487" s="67">
        <f t="shared" si="19"/>
        <v>7604.666666666667</v>
      </c>
    </row>
    <row r="488" spans="1:12" hidden="1" outlineLevel="1" x14ac:dyDescent="0.35">
      <c r="A488" s="37" t="s">
        <v>857</v>
      </c>
      <c r="B488" s="62" t="s">
        <v>858</v>
      </c>
      <c r="C488" s="54" t="s">
        <v>934</v>
      </c>
      <c r="D488" s="84">
        <f>('R2023'!D488+'R2022'!D488+'R2021'!D488)/3</f>
        <v>0</v>
      </c>
      <c r="E488" s="84">
        <f>('R2023'!E488+'R2022'!E488+'R2021'!E488)/3</f>
        <v>0</v>
      </c>
      <c r="F488" s="84">
        <f>('R2023'!F488+'R2022'!F488+'R2021'!F488)/3</f>
        <v>0</v>
      </c>
      <c r="G488" s="84">
        <f>('R2023'!G488+'R2022'!G488+'R2021'!G488)/3</f>
        <v>0</v>
      </c>
      <c r="H488" s="84">
        <f>('R2023'!H488+'R2022'!H488+'R2021'!H488)/3</f>
        <v>0</v>
      </c>
      <c r="I488" s="84">
        <f>('R2023'!I488+'R2022'!I488+'R2021'!I488)/3</f>
        <v>0</v>
      </c>
      <c r="J488" s="71"/>
      <c r="K488" s="84">
        <f t="shared" si="18"/>
        <v>0</v>
      </c>
      <c r="L488" s="67">
        <f t="shared" si="19"/>
        <v>0</v>
      </c>
    </row>
    <row r="489" spans="1:12" hidden="1" outlineLevel="1" x14ac:dyDescent="0.35">
      <c r="A489" s="37" t="s">
        <v>859</v>
      </c>
      <c r="B489" s="62" t="s">
        <v>860</v>
      </c>
      <c r="C489" s="54" t="s">
        <v>934</v>
      </c>
      <c r="D489" s="84">
        <f>('R2023'!D489+'R2022'!D489+'R2021'!D489)/3</f>
        <v>0</v>
      </c>
      <c r="E489" s="84">
        <f>('R2023'!E489+'R2022'!E489+'R2021'!E489)/3</f>
        <v>0</v>
      </c>
      <c r="F489" s="84">
        <f>('R2023'!F489+'R2022'!F489+'R2021'!F489)/3</f>
        <v>0</v>
      </c>
      <c r="G489" s="84">
        <f>('R2023'!G489+'R2022'!G489+'R2021'!G489)/3</f>
        <v>25</v>
      </c>
      <c r="H489" s="84">
        <f>('R2023'!H489+'R2022'!H489+'R2021'!H489)/3</f>
        <v>0</v>
      </c>
      <c r="I489" s="84">
        <f>('R2023'!I489+'R2022'!I489+'R2021'!I489)/3</f>
        <v>0</v>
      </c>
      <c r="J489" s="71"/>
      <c r="K489" s="84">
        <f t="shared" si="18"/>
        <v>0</v>
      </c>
      <c r="L489" s="67">
        <f t="shared" si="19"/>
        <v>25</v>
      </c>
    </row>
    <row r="490" spans="1:12" hidden="1" outlineLevel="1" x14ac:dyDescent="0.35">
      <c r="A490" s="37" t="s">
        <v>861</v>
      </c>
      <c r="B490" s="62" t="s">
        <v>862</v>
      </c>
      <c r="C490" s="54" t="s">
        <v>934</v>
      </c>
      <c r="D490" s="84">
        <f>('R2023'!D490+'R2022'!D490+'R2021'!D490)/3</f>
        <v>0</v>
      </c>
      <c r="E490" s="84">
        <f>('R2023'!E490+'R2022'!E490+'R2021'!E490)/3</f>
        <v>0</v>
      </c>
      <c r="F490" s="84">
        <f>('R2023'!F490+'R2022'!F490+'R2021'!F490)/3</f>
        <v>0</v>
      </c>
      <c r="G490" s="84">
        <f>('R2023'!G490+'R2022'!G490+'R2021'!G490)/3</f>
        <v>7044.666666666667</v>
      </c>
      <c r="H490" s="84">
        <f>('R2023'!H490+'R2022'!H490+'R2021'!H490)/3</f>
        <v>0</v>
      </c>
      <c r="I490" s="84">
        <f>('R2023'!I490+'R2022'!I490+'R2021'!I490)/3</f>
        <v>0</v>
      </c>
      <c r="J490" s="71"/>
      <c r="K490" s="84">
        <f t="shared" si="18"/>
        <v>0</v>
      </c>
      <c r="L490" s="67">
        <f t="shared" si="19"/>
        <v>7044.666666666667</v>
      </c>
    </row>
    <row r="491" spans="1:12" hidden="1" outlineLevel="1" x14ac:dyDescent="0.35">
      <c r="A491" s="37" t="s">
        <v>863</v>
      </c>
      <c r="B491" s="62" t="s">
        <v>864</v>
      </c>
      <c r="C491" s="54" t="s">
        <v>934</v>
      </c>
      <c r="D491" s="84">
        <f>('R2023'!D491+'R2022'!D491+'R2021'!D491)/3</f>
        <v>0</v>
      </c>
      <c r="E491" s="84">
        <f>('R2023'!E491+'R2022'!E491+'R2021'!E491)/3</f>
        <v>0</v>
      </c>
      <c r="F491" s="84">
        <f>('R2023'!F491+'R2022'!F491+'R2021'!F491)/3</f>
        <v>0</v>
      </c>
      <c r="G491" s="84">
        <f>('R2023'!G491+'R2022'!G491+'R2021'!G491)/3</f>
        <v>0</v>
      </c>
      <c r="H491" s="84">
        <f>('R2023'!H491+'R2022'!H491+'R2021'!H491)/3</f>
        <v>0</v>
      </c>
      <c r="I491" s="84">
        <f>('R2023'!I491+'R2022'!I491+'R2021'!I491)/3</f>
        <v>0</v>
      </c>
      <c r="J491" s="71"/>
      <c r="K491" s="84">
        <f t="shared" si="18"/>
        <v>0</v>
      </c>
      <c r="L491" s="67">
        <f t="shared" si="19"/>
        <v>0</v>
      </c>
    </row>
    <row r="492" spans="1:12" hidden="1" outlineLevel="1" x14ac:dyDescent="0.35">
      <c r="A492" s="37" t="s">
        <v>865</v>
      </c>
      <c r="B492" s="62" t="s">
        <v>866</v>
      </c>
      <c r="C492" s="54" t="s">
        <v>934</v>
      </c>
      <c r="D492" s="84">
        <f>('R2023'!D492+'R2022'!D492+'R2021'!D492)/3</f>
        <v>0</v>
      </c>
      <c r="E492" s="84">
        <f>('R2023'!E492+'R2022'!E492+'R2021'!E492)/3</f>
        <v>0</v>
      </c>
      <c r="F492" s="84">
        <f>('R2023'!F492+'R2022'!F492+'R2021'!F492)/3</f>
        <v>0</v>
      </c>
      <c r="G492" s="84">
        <f>('R2023'!G492+'R2022'!G492+'R2021'!G492)/3</f>
        <v>0</v>
      </c>
      <c r="H492" s="84">
        <f>('R2023'!H492+'R2022'!H492+'R2021'!H492)/3</f>
        <v>0</v>
      </c>
      <c r="I492" s="84">
        <f>('R2023'!I492+'R2022'!I492+'R2021'!I492)/3</f>
        <v>0</v>
      </c>
      <c r="J492" s="71"/>
      <c r="K492" s="84">
        <f t="shared" si="18"/>
        <v>0</v>
      </c>
      <c r="L492" s="67">
        <f t="shared" si="19"/>
        <v>0</v>
      </c>
    </row>
    <row r="493" spans="1:12" s="12" customFormat="1" x14ac:dyDescent="0.35">
      <c r="A493" s="42"/>
      <c r="B493" s="81" t="s">
        <v>1288</v>
      </c>
      <c r="C493" s="58"/>
      <c r="D493" s="155">
        <f>('R2023'!D493+'R2022'!D493+'R2021'!D493)/3</f>
        <v>-100678.23818240128</v>
      </c>
      <c r="E493" s="155">
        <f>('R2023'!E493+'R2022'!E493+'R2021'!E493)/3</f>
        <v>249612.28924458995</v>
      </c>
      <c r="F493" s="155">
        <f>('R2023'!F493+'R2022'!F493+'R2021'!F493)/3</f>
        <v>35481.663191595733</v>
      </c>
      <c r="G493" s="155">
        <f>('R2023'!G493+'R2022'!G493+'R2021'!G493)/3</f>
        <v>744564.65706996957</v>
      </c>
      <c r="H493" s="155">
        <f>('R2023'!H493+'R2022'!H493+'R2021'!H493)/3</f>
        <v>140861.96200957987</v>
      </c>
      <c r="I493" s="155">
        <f>('R2023'!I493+'R2022'!I493+'R2021'!I493)/3</f>
        <v>40178.666666666664</v>
      </c>
      <c r="J493" s="155"/>
      <c r="K493" s="155">
        <f>('R2023'!K493+'R2022'!K493+'R2021'!K493)/3</f>
        <v>95263</v>
      </c>
      <c r="L493" s="110">
        <f t="shared" si="19"/>
        <v>1165105.333333334</v>
      </c>
    </row>
    <row r="494" spans="1:12" x14ac:dyDescent="0.35">
      <c r="A494" s="37"/>
      <c r="B494" s="62" t="s">
        <v>935</v>
      </c>
      <c r="C494" s="54"/>
      <c r="D494" s="84">
        <f>('R2023'!D494+'R2022'!D494+'R2021'!D494)/3</f>
        <v>0</v>
      </c>
      <c r="E494" s="84">
        <f>('R2023'!E494+'R2022'!E494+'R2021'!E494)/3</f>
        <v>0</v>
      </c>
      <c r="F494" s="84">
        <f>('R2023'!F494+'R2022'!F494+'R2021'!F494)/3</f>
        <v>0</v>
      </c>
      <c r="G494" s="84">
        <f>('R2023'!G494+'R2022'!G494+'R2021'!G494)/3</f>
        <v>0</v>
      </c>
      <c r="H494" s="84">
        <f>('R2023'!H494+'R2022'!H494+'R2021'!H494)/3</f>
        <v>0</v>
      </c>
      <c r="I494" s="84">
        <f>('R2023'!I494+'R2022'!I494+'R2021'!I494)/3</f>
        <v>0</v>
      </c>
      <c r="J494" s="71"/>
      <c r="K494" s="84">
        <f t="shared" si="18"/>
        <v>0</v>
      </c>
      <c r="L494" s="67">
        <f t="shared" si="19"/>
        <v>0</v>
      </c>
    </row>
    <row r="495" spans="1:12" outlineLevel="1" x14ac:dyDescent="0.35">
      <c r="A495" s="37" t="s">
        <v>867</v>
      </c>
      <c r="B495" s="62" t="s">
        <v>868</v>
      </c>
      <c r="C495" s="54" t="s">
        <v>935</v>
      </c>
      <c r="D495" s="84">
        <f>('R2023'!D495+'R2022'!D495+'R2021'!D495)/3</f>
        <v>0</v>
      </c>
      <c r="E495" s="84">
        <f>('R2023'!E495+'R2022'!E495+'R2021'!E495)/3</f>
        <v>0</v>
      </c>
      <c r="F495" s="84">
        <f>('R2023'!F495+'R2022'!F495+'R2021'!F495)/3</f>
        <v>0</v>
      </c>
      <c r="G495" s="84">
        <f>('R2023'!G495+'R2022'!G495+'R2021'!G495)/3</f>
        <v>0</v>
      </c>
      <c r="H495" s="84">
        <f>('R2023'!H495+'R2022'!H495+'R2021'!H495)/3</f>
        <v>0</v>
      </c>
      <c r="I495" s="84">
        <f>('R2023'!I495+'R2022'!I495+'R2021'!I495)/3</f>
        <v>0</v>
      </c>
      <c r="J495" s="71"/>
      <c r="K495" s="84">
        <f t="shared" si="18"/>
        <v>0</v>
      </c>
      <c r="L495" s="67">
        <f t="shared" si="19"/>
        <v>0</v>
      </c>
    </row>
    <row r="496" spans="1:12" ht="15" outlineLevel="1" thickBot="1" x14ac:dyDescent="0.4">
      <c r="A496" s="37" t="s">
        <v>869</v>
      </c>
      <c r="B496" s="62" t="s">
        <v>870</v>
      </c>
      <c r="C496" s="54" t="s">
        <v>935</v>
      </c>
      <c r="D496" s="84">
        <f>('R2023'!D496+'R2022'!D496+'R2021'!D496)/3</f>
        <v>0</v>
      </c>
      <c r="E496" s="84">
        <f>('R2023'!E496+'R2022'!E496+'R2021'!E496)/3</f>
        <v>0</v>
      </c>
      <c r="F496" s="84">
        <f>('R2023'!F496+'R2022'!F496+'R2021'!F496)/3</f>
        <v>0</v>
      </c>
      <c r="G496" s="84">
        <f>('R2023'!G496+'R2022'!G496+'R2021'!G496)/3</f>
        <v>0</v>
      </c>
      <c r="H496" s="84">
        <f>('R2023'!H496+'R2022'!H496+'R2021'!H496)/3</f>
        <v>0</v>
      </c>
      <c r="I496" s="84">
        <f>('R2023'!I496+'R2022'!I496+'R2021'!I496)/3</f>
        <v>0</v>
      </c>
      <c r="J496" s="71"/>
      <c r="K496" s="84">
        <f t="shared" si="18"/>
        <v>0</v>
      </c>
      <c r="L496" s="67">
        <f t="shared" si="19"/>
        <v>0</v>
      </c>
    </row>
    <row r="497" spans="1:12" ht="15" thickBot="1" x14ac:dyDescent="0.4">
      <c r="A497" s="37"/>
      <c r="B497" s="112" t="s">
        <v>872</v>
      </c>
      <c r="C497" s="50"/>
      <c r="D497" s="142">
        <f>('R2023'!D497+'R2022'!D497+'R2021'!D497)/3</f>
        <v>0</v>
      </c>
      <c r="E497" s="142">
        <f>('R2023'!E497+'R2022'!E497+'R2021'!E497)/3</f>
        <v>0</v>
      </c>
      <c r="F497" s="142">
        <f>('R2023'!F497+'R2022'!F497+'R2021'!F497)/3</f>
        <v>0</v>
      </c>
      <c r="G497" s="142">
        <f>('R2023'!G497+'R2022'!G497+'R2021'!G497)/3</f>
        <v>105400.33333333333</v>
      </c>
      <c r="H497" s="142">
        <f>('R2023'!H497+'R2022'!H497+'R2021'!H497)/3</f>
        <v>0</v>
      </c>
      <c r="I497" s="142">
        <f>('R2023'!I497+'R2022'!I497+'R2021'!I497)/3</f>
        <v>36242.666666666664</v>
      </c>
      <c r="J497" s="142"/>
      <c r="K497" s="142">
        <f>K493</f>
        <v>95263</v>
      </c>
      <c r="L497" s="113">
        <f>K497+D497+E497+F497+G497+H497</f>
        <v>200663.33333333331</v>
      </c>
    </row>
    <row r="498" spans="1:12" outlineLevel="1" x14ac:dyDescent="0.35">
      <c r="A498" s="37" t="s">
        <v>871</v>
      </c>
      <c r="B498" s="44" t="s">
        <v>872</v>
      </c>
      <c r="C498" s="44" t="s">
        <v>872</v>
      </c>
      <c r="D498" s="39"/>
      <c r="E498" s="45"/>
      <c r="F498" s="45"/>
      <c r="G498" s="46"/>
      <c r="H498" s="39"/>
      <c r="I498" s="39"/>
    </row>
    <row r="499" spans="1:12" outlineLevel="1" x14ac:dyDescent="0.35">
      <c r="A499" s="37" t="s">
        <v>873</v>
      </c>
      <c r="B499" s="44" t="s">
        <v>874</v>
      </c>
      <c r="C499" s="44" t="s">
        <v>872</v>
      </c>
      <c r="D499" s="39"/>
      <c r="E499" s="45"/>
      <c r="F499" s="45"/>
      <c r="G499" s="46"/>
      <c r="H499" s="39"/>
      <c r="I499" s="39"/>
    </row>
    <row r="500" spans="1:12" outlineLevel="1" x14ac:dyDescent="0.35">
      <c r="A500" s="37" t="s">
        <v>875</v>
      </c>
      <c r="B500" s="44" t="s">
        <v>876</v>
      </c>
      <c r="C500" s="44" t="s">
        <v>872</v>
      </c>
      <c r="D500" s="39"/>
      <c r="E500" s="45"/>
      <c r="F500" s="45"/>
      <c r="G500" s="46"/>
      <c r="H500" s="39"/>
      <c r="I500" s="39"/>
    </row>
    <row r="501" spans="1:12" outlineLevel="1" x14ac:dyDescent="0.35">
      <c r="A501" s="37" t="s">
        <v>877</v>
      </c>
      <c r="B501" s="44" t="s">
        <v>878</v>
      </c>
      <c r="C501" s="44" t="s">
        <v>872</v>
      </c>
      <c r="D501" s="39"/>
      <c r="E501" s="45"/>
      <c r="F501" s="45"/>
      <c r="G501" s="46"/>
      <c r="H501" s="39"/>
      <c r="I501" s="39"/>
    </row>
    <row r="502" spans="1:12" collapsed="1" x14ac:dyDescent="0.35">
      <c r="A502" s="37"/>
      <c r="B502" s="46"/>
      <c r="C502" s="46"/>
      <c r="D502" s="39"/>
      <c r="E502" s="39"/>
      <c r="F502" s="39"/>
      <c r="G502" s="46"/>
      <c r="H502" s="39"/>
      <c r="I502" s="39"/>
    </row>
    <row r="503" spans="1:12" x14ac:dyDescent="0.35">
      <c r="A503" s="37"/>
      <c r="B503" s="46"/>
      <c r="C503" s="46"/>
      <c r="D503" s="39"/>
      <c r="E503" s="39"/>
      <c r="F503" s="39"/>
      <c r="G503" s="46"/>
      <c r="H503" s="39"/>
      <c r="I503" s="39"/>
    </row>
    <row r="504" spans="1:12" x14ac:dyDescent="0.35">
      <c r="A504" s="37"/>
      <c r="B504" s="60"/>
      <c r="C504" s="46"/>
      <c r="D504" s="39"/>
      <c r="E504" s="39"/>
      <c r="F504" s="39"/>
      <c r="G504" s="46"/>
      <c r="H504" s="39"/>
      <c r="I504" s="39"/>
    </row>
    <row r="505" spans="1:12" x14ac:dyDescent="0.35">
      <c r="B505" s="22"/>
      <c r="C505" s="22"/>
      <c r="G505" s="33"/>
    </row>
    <row r="506" spans="1:12" x14ac:dyDescent="0.35">
      <c r="B506" s="22"/>
      <c r="C506" s="22"/>
      <c r="G506" s="33"/>
    </row>
    <row r="507" spans="1:12" x14ac:dyDescent="0.35">
      <c r="B507" s="22"/>
      <c r="C507" s="22"/>
      <c r="G507" s="33"/>
    </row>
    <row r="508" spans="1:12" x14ac:dyDescent="0.35">
      <c r="B508" s="22"/>
      <c r="C508" s="22"/>
      <c r="G508" s="33"/>
    </row>
    <row r="509" spans="1:12" x14ac:dyDescent="0.35">
      <c r="B509" s="22"/>
      <c r="C509" s="22"/>
      <c r="G509" s="33"/>
    </row>
    <row r="510" spans="1:12" x14ac:dyDescent="0.35">
      <c r="B510" s="22"/>
      <c r="C510" s="22"/>
      <c r="G510" s="33"/>
    </row>
    <row r="511" spans="1:12" x14ac:dyDescent="0.35">
      <c r="B511" s="22"/>
      <c r="C511" s="22"/>
      <c r="G511" s="33"/>
    </row>
    <row r="512" spans="1:12" x14ac:dyDescent="0.35">
      <c r="B512" s="22"/>
      <c r="C512" s="22"/>
      <c r="G512" s="33"/>
    </row>
    <row r="513" spans="2:7" x14ac:dyDescent="0.35">
      <c r="B513" s="22"/>
      <c r="C513" s="22"/>
      <c r="G513" s="33"/>
    </row>
    <row r="514" spans="2:7" x14ac:dyDescent="0.35">
      <c r="B514" s="22"/>
      <c r="C514" s="22"/>
      <c r="G514" s="33"/>
    </row>
    <row r="515" spans="2:7" x14ac:dyDescent="0.35">
      <c r="B515" s="22"/>
      <c r="C515" s="22"/>
      <c r="G515" s="33"/>
    </row>
    <row r="516" spans="2:7" x14ac:dyDescent="0.35">
      <c r="B516" s="22"/>
      <c r="C516" s="22"/>
      <c r="G516" s="33"/>
    </row>
    <row r="517" spans="2:7" x14ac:dyDescent="0.35">
      <c r="B517" s="22"/>
      <c r="C517" s="22"/>
      <c r="G517" s="33"/>
    </row>
    <row r="518" spans="2:7" x14ac:dyDescent="0.35">
      <c r="B518" s="22"/>
      <c r="C518" s="22"/>
      <c r="G518" s="33"/>
    </row>
    <row r="519" spans="2:7" x14ac:dyDescent="0.35">
      <c r="B519" s="22"/>
      <c r="C519" s="22"/>
      <c r="G519" s="33"/>
    </row>
    <row r="520" spans="2:7" x14ac:dyDescent="0.35">
      <c r="B520" s="22"/>
      <c r="C520" s="22"/>
      <c r="G520" s="33"/>
    </row>
    <row r="521" spans="2:7" x14ac:dyDescent="0.35">
      <c r="B521" s="22"/>
      <c r="C521" s="22"/>
      <c r="G521" s="33"/>
    </row>
    <row r="522" spans="2:7" x14ac:dyDescent="0.35">
      <c r="B522" s="22"/>
      <c r="C522" s="22"/>
      <c r="G522" s="33"/>
    </row>
  </sheetData>
  <dataConsolidate/>
  <pageMargins left="0.51181102362204722" right="0.51181102362204722" top="0.74803149606299213" bottom="0.74803149606299213" header="0.31496062992125984" footer="0.31496062992125984"/>
  <pageSetup paperSize="9" scale="60" fitToHeight="13" orientation="landscape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4075-0F99-42B5-B22F-C6BFD0AE9173}">
  <sheetPr codeName="Ark4">
    <tabColor rgb="FFFFFFCC"/>
    <outlinePr summaryBelow="0" summaryRight="0"/>
    <pageSetUpPr fitToPage="1"/>
  </sheetPr>
  <dimension ref="A1:L522"/>
  <sheetViews>
    <sheetView zoomScaleNormal="100" workbookViewId="0">
      <pane ySplit="3" topLeftCell="A42" activePane="bottomLeft" state="frozen"/>
      <selection pane="bottomLeft" activeCell="N473" sqref="N473"/>
    </sheetView>
  </sheetViews>
  <sheetFormatPr baseColWidth="10" defaultColWidth="9.1796875" defaultRowHeight="14.5" outlineLevelRow="1" x14ac:dyDescent="0.35"/>
  <cols>
    <col min="1" max="1" width="8.453125" style="14" customWidth="1"/>
    <col min="2" max="2" width="60.453125" style="16" customWidth="1"/>
    <col min="3" max="3" width="11.54296875" style="16" hidden="1" customWidth="1"/>
    <col min="4" max="4" width="15.453125" style="27" customWidth="1"/>
    <col min="5" max="6" width="17.453125" style="27" customWidth="1"/>
    <col min="7" max="7" width="17.1796875" style="28" customWidth="1"/>
    <col min="8" max="9" width="17.453125" style="27" customWidth="1"/>
    <col min="10" max="10" width="16.81640625" customWidth="1"/>
    <col min="11" max="11" width="17.1796875" customWidth="1"/>
    <col min="12" max="12" width="16.81640625" customWidth="1"/>
  </cols>
  <sheetData>
    <row r="1" spans="1:12" x14ac:dyDescent="0.35">
      <c r="A1" s="37"/>
      <c r="B1" s="38" t="s">
        <v>1293</v>
      </c>
      <c r="C1" s="39"/>
      <c r="D1" s="39"/>
      <c r="E1" s="39"/>
      <c r="F1" s="39"/>
      <c r="G1" s="39"/>
      <c r="H1" s="39"/>
      <c r="I1" s="39"/>
    </row>
    <row r="2" spans="1:12" x14ac:dyDescent="0.35">
      <c r="A2" s="37"/>
      <c r="B2" s="39"/>
      <c r="C2" s="39"/>
      <c r="D2" s="39"/>
      <c r="E2" s="39"/>
      <c r="F2" s="39"/>
      <c r="G2" s="39"/>
      <c r="H2" s="39"/>
      <c r="I2" s="39"/>
      <c r="J2" s="125" t="s">
        <v>1300</v>
      </c>
    </row>
    <row r="3" spans="1:12" x14ac:dyDescent="0.35">
      <c r="A3" s="40" t="s">
        <v>1</v>
      </c>
      <c r="B3" s="61" t="s">
        <v>2</v>
      </c>
      <c r="C3" s="41" t="s">
        <v>880</v>
      </c>
      <c r="D3" s="82" t="s">
        <v>1278</v>
      </c>
      <c r="E3" s="42" t="s">
        <v>1279</v>
      </c>
      <c r="F3" s="82" t="s">
        <v>1280</v>
      </c>
      <c r="G3" s="19" t="s">
        <v>1277</v>
      </c>
      <c r="H3" s="82" t="s">
        <v>1281</v>
      </c>
      <c r="I3" s="43" t="s">
        <v>1282</v>
      </c>
      <c r="J3" s="107" t="s">
        <v>1297</v>
      </c>
      <c r="K3" s="107" t="s">
        <v>1298</v>
      </c>
      <c r="L3" s="31" t="s">
        <v>1301</v>
      </c>
    </row>
    <row r="4" spans="1:12" x14ac:dyDescent="0.35">
      <c r="A4" s="37" t="s">
        <v>3</v>
      </c>
      <c r="B4" s="62" t="s">
        <v>4</v>
      </c>
      <c r="C4" s="54"/>
      <c r="D4" s="83"/>
      <c r="E4" s="63"/>
      <c r="F4" s="83"/>
      <c r="G4" s="64"/>
      <c r="H4" s="85"/>
      <c r="I4" s="66"/>
      <c r="K4" s="132"/>
      <c r="L4" s="127"/>
    </row>
    <row r="5" spans="1:12" collapsed="1" x14ac:dyDescent="0.35">
      <c r="A5" s="37"/>
      <c r="B5" s="62" t="s">
        <v>882</v>
      </c>
      <c r="C5" s="54"/>
      <c r="D5" s="84">
        <f t="shared" ref="D5:I5" si="0">SUM(D6:D11)</f>
        <v>0</v>
      </c>
      <c r="E5" s="64">
        <f t="shared" si="0"/>
        <v>0</v>
      </c>
      <c r="F5" s="84">
        <f t="shared" si="0"/>
        <v>0</v>
      </c>
      <c r="G5" s="64">
        <f t="shared" si="0"/>
        <v>0</v>
      </c>
      <c r="H5" s="84">
        <f t="shared" si="0"/>
        <v>0</v>
      </c>
      <c r="I5" s="64">
        <f t="shared" si="0"/>
        <v>0</v>
      </c>
      <c r="J5" s="71"/>
      <c r="K5" s="84">
        <f>J5+I5</f>
        <v>0</v>
      </c>
      <c r="L5" s="67">
        <f>K5+D5+E5+F5+G5+H5</f>
        <v>0</v>
      </c>
    </row>
    <row r="6" spans="1:12" s="25" customFormat="1" hidden="1" outlineLevel="1" x14ac:dyDescent="0.35">
      <c r="A6" s="37" t="s">
        <v>5</v>
      </c>
      <c r="B6" s="62" t="s">
        <v>6</v>
      </c>
      <c r="C6" s="65"/>
      <c r="D6" s="84"/>
      <c r="E6" s="63"/>
      <c r="F6" s="83"/>
      <c r="G6" s="64"/>
      <c r="H6" s="85"/>
      <c r="I6" s="67"/>
      <c r="J6" s="71"/>
      <c r="K6" s="84">
        <f t="shared" ref="K6:K8" si="1">J6+I6</f>
        <v>0</v>
      </c>
      <c r="L6" s="67">
        <f t="shared" ref="L6:L8" si="2">K6+D6+E6+F6+G6+H6</f>
        <v>0</v>
      </c>
    </row>
    <row r="7" spans="1:12" s="25" customFormat="1" hidden="1" outlineLevel="1" x14ac:dyDescent="0.35">
      <c r="A7" s="37" t="s">
        <v>7</v>
      </c>
      <c r="B7" s="62" t="s">
        <v>8</v>
      </c>
      <c r="C7" s="54"/>
      <c r="D7" s="84"/>
      <c r="E7" s="63"/>
      <c r="F7" s="83"/>
      <c r="G7" s="64"/>
      <c r="H7" s="85"/>
      <c r="I7" s="67"/>
      <c r="J7" s="71"/>
      <c r="K7" s="84">
        <f t="shared" si="1"/>
        <v>0</v>
      </c>
      <c r="L7" s="67">
        <f t="shared" si="2"/>
        <v>0</v>
      </c>
    </row>
    <row r="8" spans="1:12" s="25" customFormat="1" hidden="1" outlineLevel="1" x14ac:dyDescent="0.35">
      <c r="A8" s="37" t="s">
        <v>9</v>
      </c>
      <c r="B8" s="62" t="s">
        <v>10</v>
      </c>
      <c r="C8" s="54" t="s">
        <v>882</v>
      </c>
      <c r="D8" s="84"/>
      <c r="E8" s="63"/>
      <c r="F8" s="83"/>
      <c r="G8" s="64"/>
      <c r="H8" s="85"/>
      <c r="I8" s="67"/>
      <c r="J8" s="71"/>
      <c r="K8" s="84">
        <f t="shared" si="1"/>
        <v>0</v>
      </c>
      <c r="L8" s="67">
        <f t="shared" si="2"/>
        <v>0</v>
      </c>
    </row>
    <row r="9" spans="1:12" s="25" customFormat="1" hidden="1" outlineLevel="1" x14ac:dyDescent="0.35">
      <c r="A9" s="37" t="s">
        <v>11</v>
      </c>
      <c r="B9" s="62" t="s">
        <v>883</v>
      </c>
      <c r="C9" s="54" t="s">
        <v>882</v>
      </c>
      <c r="D9" s="84"/>
      <c r="E9" s="63"/>
      <c r="F9" s="83"/>
      <c r="G9" s="64"/>
      <c r="H9" s="85"/>
      <c r="I9" s="67"/>
      <c r="J9" s="71"/>
      <c r="K9" s="84">
        <f t="shared" ref="K9:K72" si="3">J9+I9</f>
        <v>0</v>
      </c>
      <c r="L9" s="67">
        <f t="shared" ref="L9:L72" si="4">K9+D9+E9+F9+G9+H9</f>
        <v>0</v>
      </c>
    </row>
    <row r="10" spans="1:12" s="25" customFormat="1" hidden="1" outlineLevel="1" x14ac:dyDescent="0.35">
      <c r="A10" s="37" t="s">
        <v>12</v>
      </c>
      <c r="B10" s="62" t="s">
        <v>13</v>
      </c>
      <c r="C10" s="54" t="s">
        <v>882</v>
      </c>
      <c r="D10" s="84"/>
      <c r="E10" s="63"/>
      <c r="F10" s="83"/>
      <c r="G10" s="64"/>
      <c r="H10" s="85"/>
      <c r="I10" s="67"/>
      <c r="J10" s="71"/>
      <c r="K10" s="84">
        <f t="shared" si="3"/>
        <v>0</v>
      </c>
      <c r="L10" s="67">
        <f t="shared" si="4"/>
        <v>0</v>
      </c>
    </row>
    <row r="11" spans="1:12" s="25" customFormat="1" hidden="1" outlineLevel="1" x14ac:dyDescent="0.35">
      <c r="A11" s="37" t="s">
        <v>14</v>
      </c>
      <c r="B11" s="62" t="s">
        <v>15</v>
      </c>
      <c r="C11" s="54" t="s">
        <v>882</v>
      </c>
      <c r="D11" s="84"/>
      <c r="E11" s="63"/>
      <c r="F11" s="83"/>
      <c r="G11" s="64"/>
      <c r="H11" s="85"/>
      <c r="I11" s="67"/>
      <c r="J11" s="71"/>
      <c r="K11" s="84">
        <f t="shared" si="3"/>
        <v>0</v>
      </c>
      <c r="L11" s="67">
        <f t="shared" si="4"/>
        <v>0</v>
      </c>
    </row>
    <row r="12" spans="1:12" s="25" customFormat="1" x14ac:dyDescent="0.35">
      <c r="A12" s="37" t="s">
        <v>16</v>
      </c>
      <c r="B12" s="62" t="s">
        <v>17</v>
      </c>
      <c r="C12" s="54"/>
      <c r="D12" s="84"/>
      <c r="E12" s="63"/>
      <c r="F12" s="83"/>
      <c r="G12" s="64"/>
      <c r="H12" s="85"/>
      <c r="I12" s="67"/>
      <c r="J12" s="71"/>
      <c r="K12" s="84">
        <f t="shared" si="3"/>
        <v>0</v>
      </c>
      <c r="L12" s="67">
        <f t="shared" si="4"/>
        <v>0</v>
      </c>
    </row>
    <row r="13" spans="1:12" s="25" customFormat="1" x14ac:dyDescent="0.35">
      <c r="A13" s="37" t="s">
        <v>18</v>
      </c>
      <c r="B13" s="62" t="s">
        <v>19</v>
      </c>
      <c r="C13" s="54"/>
      <c r="D13" s="84"/>
      <c r="E13" s="63"/>
      <c r="F13" s="83"/>
      <c r="G13" s="64"/>
      <c r="H13" s="85"/>
      <c r="I13" s="67"/>
      <c r="J13" s="71"/>
      <c r="K13" s="84">
        <f t="shared" si="3"/>
        <v>0</v>
      </c>
      <c r="L13" s="67">
        <f t="shared" si="4"/>
        <v>0</v>
      </c>
    </row>
    <row r="14" spans="1:12" collapsed="1" x14ac:dyDescent="0.35">
      <c r="A14" s="37"/>
      <c r="B14" s="62" t="s">
        <v>885</v>
      </c>
      <c r="C14" s="54"/>
      <c r="D14" s="84">
        <f t="shared" ref="D14:D22" si="5">SUM(D15:D20)</f>
        <v>0</v>
      </c>
      <c r="E14" s="63">
        <v>4285000</v>
      </c>
      <c r="F14" s="84">
        <f>SUM(F15:F28)</f>
        <v>808832</v>
      </c>
      <c r="G14" s="64">
        <f>SUM(G15:G28)</f>
        <v>841784</v>
      </c>
      <c r="H14" s="84">
        <f t="shared" ref="H14" si="6">SUM(H15:H20)</f>
        <v>1053000</v>
      </c>
      <c r="I14" s="64">
        <f>SUM(I15:I28)</f>
        <v>0</v>
      </c>
      <c r="J14" s="71"/>
      <c r="K14" s="84">
        <f>J14+I14</f>
        <v>0</v>
      </c>
      <c r="L14" s="67">
        <f t="shared" si="4"/>
        <v>6988616</v>
      </c>
    </row>
    <row r="15" spans="1:12" hidden="1" outlineLevel="1" x14ac:dyDescent="0.35">
      <c r="A15" s="37" t="s">
        <v>20</v>
      </c>
      <c r="B15" s="62" t="s">
        <v>21</v>
      </c>
      <c r="C15" s="65"/>
      <c r="D15" s="84">
        <f t="shared" si="5"/>
        <v>0</v>
      </c>
      <c r="E15" s="63"/>
      <c r="F15" s="83">
        <v>43681</v>
      </c>
      <c r="G15" s="64">
        <v>33555</v>
      </c>
      <c r="H15" s="85">
        <v>48000</v>
      </c>
      <c r="I15" s="67"/>
      <c r="J15" s="71"/>
      <c r="K15" s="84">
        <f t="shared" si="3"/>
        <v>0</v>
      </c>
      <c r="L15" s="67">
        <f t="shared" si="4"/>
        <v>125236</v>
      </c>
    </row>
    <row r="16" spans="1:12" hidden="1" outlineLevel="1" x14ac:dyDescent="0.35">
      <c r="A16" s="37" t="s">
        <v>22</v>
      </c>
      <c r="B16" s="62" t="s">
        <v>23</v>
      </c>
      <c r="C16" s="54" t="s">
        <v>885</v>
      </c>
      <c r="D16" s="84">
        <f t="shared" si="5"/>
        <v>0</v>
      </c>
      <c r="E16" s="63"/>
      <c r="F16" s="83">
        <v>545151</v>
      </c>
      <c r="G16" s="64">
        <v>6672</v>
      </c>
      <c r="H16" s="85">
        <v>105000</v>
      </c>
      <c r="I16" s="67"/>
      <c r="J16" s="71"/>
      <c r="K16" s="84">
        <f t="shared" si="3"/>
        <v>0</v>
      </c>
      <c r="L16" s="67">
        <f t="shared" si="4"/>
        <v>656823</v>
      </c>
    </row>
    <row r="17" spans="1:12" hidden="1" outlineLevel="1" x14ac:dyDescent="0.35">
      <c r="A17" s="37" t="s">
        <v>24</v>
      </c>
      <c r="B17" s="62" t="s">
        <v>25</v>
      </c>
      <c r="C17" s="54" t="s">
        <v>885</v>
      </c>
      <c r="D17" s="84">
        <f t="shared" si="5"/>
        <v>0</v>
      </c>
      <c r="E17" s="63"/>
      <c r="F17" s="83">
        <v>220000</v>
      </c>
      <c r="G17" s="64">
        <v>10000</v>
      </c>
      <c r="H17" s="85">
        <v>425000</v>
      </c>
      <c r="I17" s="67"/>
      <c r="J17" s="71"/>
      <c r="K17" s="84">
        <f t="shared" si="3"/>
        <v>0</v>
      </c>
      <c r="L17" s="67">
        <f t="shared" si="4"/>
        <v>655000</v>
      </c>
    </row>
    <row r="18" spans="1:12" hidden="1" outlineLevel="1" x14ac:dyDescent="0.35">
      <c r="A18" s="37" t="s">
        <v>26</v>
      </c>
      <c r="B18" s="62" t="s">
        <v>27</v>
      </c>
      <c r="C18" s="54" t="s">
        <v>885</v>
      </c>
      <c r="D18" s="84">
        <f t="shared" si="5"/>
        <v>0</v>
      </c>
      <c r="E18" s="63"/>
      <c r="F18" s="83"/>
      <c r="G18" s="64">
        <v>376557</v>
      </c>
      <c r="H18" s="85">
        <v>200000</v>
      </c>
      <c r="I18" s="67"/>
      <c r="J18" s="71"/>
      <c r="K18" s="84">
        <f t="shared" si="3"/>
        <v>0</v>
      </c>
      <c r="L18" s="67">
        <f t="shared" si="4"/>
        <v>576557</v>
      </c>
    </row>
    <row r="19" spans="1:12" s="11" customFormat="1" hidden="1" outlineLevel="1" x14ac:dyDescent="0.35">
      <c r="A19" s="37">
        <v>1104</v>
      </c>
      <c r="B19" s="62" t="s">
        <v>28</v>
      </c>
      <c r="C19" s="54" t="s">
        <v>885</v>
      </c>
      <c r="D19" s="84">
        <f t="shared" si="5"/>
        <v>0</v>
      </c>
      <c r="E19" s="63"/>
      <c r="F19" s="83"/>
      <c r="G19" s="54"/>
      <c r="H19" s="83">
        <v>175000</v>
      </c>
      <c r="I19" s="67"/>
      <c r="J19" s="71"/>
      <c r="K19" s="84">
        <f t="shared" si="3"/>
        <v>0</v>
      </c>
      <c r="L19" s="67">
        <f t="shared" si="4"/>
        <v>175000</v>
      </c>
    </row>
    <row r="20" spans="1:12" hidden="1" outlineLevel="1" x14ac:dyDescent="0.35">
      <c r="A20" s="37" t="s">
        <v>29</v>
      </c>
      <c r="B20" s="62" t="s">
        <v>30</v>
      </c>
      <c r="C20" s="54" t="s">
        <v>885</v>
      </c>
      <c r="D20" s="84">
        <f t="shared" si="5"/>
        <v>0</v>
      </c>
      <c r="E20" s="63"/>
      <c r="F20" s="83"/>
      <c r="G20" s="64"/>
      <c r="H20" s="85">
        <v>100000</v>
      </c>
      <c r="I20" s="67"/>
      <c r="J20" s="71"/>
      <c r="K20" s="84">
        <f t="shared" si="3"/>
        <v>0</v>
      </c>
      <c r="L20" s="67">
        <f t="shared" si="4"/>
        <v>100000</v>
      </c>
    </row>
    <row r="21" spans="1:12" hidden="1" outlineLevel="1" x14ac:dyDescent="0.35">
      <c r="A21" s="37" t="s">
        <v>31</v>
      </c>
      <c r="B21" s="62" t="s">
        <v>32</v>
      </c>
      <c r="C21" s="54" t="s">
        <v>885</v>
      </c>
      <c r="D21" s="84">
        <f t="shared" si="5"/>
        <v>0</v>
      </c>
      <c r="E21" s="63"/>
      <c r="F21" s="83"/>
      <c r="G21" s="64"/>
      <c r="H21" s="85"/>
      <c r="I21" s="67"/>
      <c r="J21" s="71"/>
      <c r="K21" s="84">
        <f t="shared" si="3"/>
        <v>0</v>
      </c>
      <c r="L21" s="67">
        <f t="shared" si="4"/>
        <v>0</v>
      </c>
    </row>
    <row r="22" spans="1:12" hidden="1" outlineLevel="1" x14ac:dyDescent="0.35">
      <c r="A22" s="37" t="s">
        <v>33</v>
      </c>
      <c r="B22" s="62" t="s">
        <v>34</v>
      </c>
      <c r="C22" s="54" t="s">
        <v>885</v>
      </c>
      <c r="D22" s="84">
        <f t="shared" si="5"/>
        <v>0</v>
      </c>
      <c r="E22" s="63"/>
      <c r="F22" s="83"/>
      <c r="G22" s="64"/>
      <c r="H22" s="85"/>
      <c r="I22" s="67"/>
      <c r="J22" s="71"/>
      <c r="K22" s="84">
        <f t="shared" si="3"/>
        <v>0</v>
      </c>
      <c r="L22" s="67">
        <f t="shared" si="4"/>
        <v>0</v>
      </c>
    </row>
    <row r="23" spans="1:12" hidden="1" outlineLevel="1" x14ac:dyDescent="0.35">
      <c r="A23" s="37" t="s">
        <v>35</v>
      </c>
      <c r="B23" s="62" t="s">
        <v>36</v>
      </c>
      <c r="C23" s="54" t="s">
        <v>885</v>
      </c>
      <c r="D23" s="84">
        <f>SUM(D24:D28)</f>
        <v>0</v>
      </c>
      <c r="E23" s="63"/>
      <c r="F23" s="83"/>
      <c r="G23" s="64"/>
      <c r="H23" s="85"/>
      <c r="I23" s="67"/>
      <c r="J23" s="71"/>
      <c r="K23" s="84">
        <f t="shared" si="3"/>
        <v>0</v>
      </c>
      <c r="L23" s="67">
        <f t="shared" si="4"/>
        <v>0</v>
      </c>
    </row>
    <row r="24" spans="1:12" hidden="1" outlineLevel="1" x14ac:dyDescent="0.35">
      <c r="A24" s="37" t="s">
        <v>37</v>
      </c>
      <c r="B24" s="62" t="s">
        <v>38</v>
      </c>
      <c r="C24" s="54" t="s">
        <v>885</v>
      </c>
      <c r="D24" s="84">
        <f>SUM(D25:D30)</f>
        <v>0</v>
      </c>
      <c r="E24" s="63"/>
      <c r="F24" s="83"/>
      <c r="G24" s="64"/>
      <c r="H24" s="85"/>
      <c r="I24" s="67"/>
      <c r="J24" s="71"/>
      <c r="K24" s="84">
        <f t="shared" si="3"/>
        <v>0</v>
      </c>
      <c r="L24" s="67">
        <f t="shared" si="4"/>
        <v>0</v>
      </c>
    </row>
    <row r="25" spans="1:12" hidden="1" outlineLevel="1" x14ac:dyDescent="0.35">
      <c r="A25" s="37" t="s">
        <v>39</v>
      </c>
      <c r="B25" s="62" t="s">
        <v>40</v>
      </c>
      <c r="C25" s="54" t="s">
        <v>885</v>
      </c>
      <c r="D25" s="84">
        <f>SUM(D26:D31)</f>
        <v>0</v>
      </c>
      <c r="E25" s="63"/>
      <c r="F25" s="83"/>
      <c r="G25" s="64"/>
      <c r="H25" s="85"/>
      <c r="I25" s="67"/>
      <c r="J25" s="71"/>
      <c r="K25" s="84">
        <f t="shared" si="3"/>
        <v>0</v>
      </c>
      <c r="L25" s="67">
        <f t="shared" si="4"/>
        <v>0</v>
      </c>
    </row>
    <row r="26" spans="1:12" hidden="1" outlineLevel="1" x14ac:dyDescent="0.35">
      <c r="A26" s="37" t="s">
        <v>41</v>
      </c>
      <c r="B26" s="62" t="s">
        <v>42</v>
      </c>
      <c r="C26" s="54" t="s">
        <v>885</v>
      </c>
      <c r="D26" s="84">
        <f>SUM(D27:D33)</f>
        <v>0</v>
      </c>
      <c r="E26" s="63"/>
      <c r="F26" s="83"/>
      <c r="G26" s="64"/>
      <c r="H26" s="85"/>
      <c r="I26" s="67"/>
      <c r="J26" s="71"/>
      <c r="K26" s="84">
        <f t="shared" si="3"/>
        <v>0</v>
      </c>
      <c r="L26" s="67">
        <f t="shared" si="4"/>
        <v>0</v>
      </c>
    </row>
    <row r="27" spans="1:12" hidden="1" outlineLevel="1" x14ac:dyDescent="0.35">
      <c r="A27" s="37" t="s">
        <v>43</v>
      </c>
      <c r="B27" s="62" t="s">
        <v>44</v>
      </c>
      <c r="C27" s="54" t="s">
        <v>885</v>
      </c>
      <c r="D27" s="84">
        <f>SUM(D28:D34)</f>
        <v>0</v>
      </c>
      <c r="E27" s="63"/>
      <c r="F27" s="83"/>
      <c r="G27" s="64">
        <v>415000</v>
      </c>
      <c r="H27" s="85"/>
      <c r="I27" s="67"/>
      <c r="J27" s="71"/>
      <c r="K27" s="84">
        <f t="shared" si="3"/>
        <v>0</v>
      </c>
      <c r="L27" s="67">
        <f t="shared" si="4"/>
        <v>415000</v>
      </c>
    </row>
    <row r="28" spans="1:12" hidden="1" outlineLevel="1" x14ac:dyDescent="0.35">
      <c r="A28" s="37" t="s">
        <v>45</v>
      </c>
      <c r="B28" s="62" t="s">
        <v>46</v>
      </c>
      <c r="C28" s="54" t="s">
        <v>885</v>
      </c>
      <c r="D28" s="84">
        <f>SUM(D30:D35)</f>
        <v>0</v>
      </c>
      <c r="E28" s="63"/>
      <c r="F28" s="83"/>
      <c r="G28" s="64"/>
      <c r="H28" s="85"/>
      <c r="I28" s="67"/>
      <c r="J28" s="71"/>
      <c r="K28" s="84">
        <f t="shared" si="3"/>
        <v>0</v>
      </c>
      <c r="L28" s="67">
        <f t="shared" si="4"/>
        <v>0</v>
      </c>
    </row>
    <row r="29" spans="1:12" collapsed="1" x14ac:dyDescent="0.35">
      <c r="A29" s="37"/>
      <c r="B29" s="68" t="s">
        <v>48</v>
      </c>
      <c r="C29" s="65"/>
      <c r="D29" s="85">
        <f>SUM(D30:D31)</f>
        <v>0</v>
      </c>
      <c r="E29" s="65">
        <f t="shared" ref="E29:I29" si="7">SUM(E30:E31)</f>
        <v>0</v>
      </c>
      <c r="F29" s="85">
        <f t="shared" si="7"/>
        <v>0</v>
      </c>
      <c r="G29" s="65">
        <f t="shared" si="7"/>
        <v>0</v>
      </c>
      <c r="H29" s="85">
        <f>SUM(H30:H31)</f>
        <v>0</v>
      </c>
      <c r="I29" s="65">
        <f t="shared" si="7"/>
        <v>0</v>
      </c>
      <c r="J29" s="71"/>
      <c r="K29" s="84">
        <f t="shared" si="3"/>
        <v>0</v>
      </c>
      <c r="L29" s="67">
        <f t="shared" si="4"/>
        <v>0</v>
      </c>
    </row>
    <row r="30" spans="1:12" hidden="1" outlineLevel="1" collapsed="1" x14ac:dyDescent="0.35">
      <c r="A30" s="37" t="s">
        <v>47</v>
      </c>
      <c r="B30" s="62" t="s">
        <v>48</v>
      </c>
      <c r="C30" s="54" t="s">
        <v>48</v>
      </c>
      <c r="D30" s="84"/>
      <c r="E30" s="64"/>
      <c r="F30" s="84"/>
      <c r="G30" s="64"/>
      <c r="H30" s="85"/>
      <c r="I30" s="67"/>
      <c r="J30" s="71"/>
      <c r="K30" s="84">
        <f t="shared" si="3"/>
        <v>0</v>
      </c>
      <c r="L30" s="67">
        <f t="shared" si="4"/>
        <v>0</v>
      </c>
    </row>
    <row r="31" spans="1:12" hidden="1" outlineLevel="1" x14ac:dyDescent="0.35">
      <c r="A31" s="37" t="s">
        <v>49</v>
      </c>
      <c r="B31" s="62" t="s">
        <v>50</v>
      </c>
      <c r="C31" s="54" t="s">
        <v>48</v>
      </c>
      <c r="D31" s="84"/>
      <c r="E31" s="63"/>
      <c r="F31" s="83"/>
      <c r="G31" s="64"/>
      <c r="H31" s="85"/>
      <c r="I31" s="67"/>
      <c r="J31" s="71"/>
      <c r="K31" s="84">
        <f t="shared" si="3"/>
        <v>0</v>
      </c>
      <c r="L31" s="67">
        <f t="shared" si="4"/>
        <v>0</v>
      </c>
    </row>
    <row r="32" spans="1:12" collapsed="1" x14ac:dyDescent="0.35">
      <c r="A32" s="37"/>
      <c r="B32" s="62" t="s">
        <v>886</v>
      </c>
      <c r="C32" s="65"/>
      <c r="D32" s="85">
        <f>SUM(D33:D38)</f>
        <v>0</v>
      </c>
      <c r="E32" s="65">
        <f t="shared" ref="E32:I32" si="8">SUM(E33:E38)</f>
        <v>0</v>
      </c>
      <c r="F32" s="85">
        <f t="shared" si="8"/>
        <v>153700</v>
      </c>
      <c r="G32" s="65">
        <f t="shared" si="8"/>
        <v>138683</v>
      </c>
      <c r="H32" s="85">
        <f>SUM(H33:H38)</f>
        <v>96970</v>
      </c>
      <c r="I32" s="85">
        <f t="shared" si="8"/>
        <v>0</v>
      </c>
      <c r="J32" s="71"/>
      <c r="K32" s="84">
        <f t="shared" si="3"/>
        <v>0</v>
      </c>
      <c r="L32" s="67">
        <f t="shared" si="4"/>
        <v>389353</v>
      </c>
    </row>
    <row r="33" spans="1:12" hidden="1" outlineLevel="1" collapsed="1" x14ac:dyDescent="0.35">
      <c r="A33" s="37" t="s">
        <v>51</v>
      </c>
      <c r="B33" s="62" t="s">
        <v>52</v>
      </c>
      <c r="C33" s="54" t="s">
        <v>886</v>
      </c>
      <c r="D33" s="84"/>
      <c r="E33" s="63"/>
      <c r="F33" s="83"/>
      <c r="G33" s="64"/>
      <c r="H33" s="85">
        <v>1000</v>
      </c>
      <c r="I33" s="67"/>
      <c r="J33" s="71"/>
      <c r="K33" s="84">
        <f t="shared" si="3"/>
        <v>0</v>
      </c>
      <c r="L33" s="67">
        <f t="shared" si="4"/>
        <v>1000</v>
      </c>
    </row>
    <row r="34" spans="1:12" hidden="1" outlineLevel="1" x14ac:dyDescent="0.35">
      <c r="A34" s="37" t="s">
        <v>53</v>
      </c>
      <c r="B34" s="62" t="s">
        <v>54</v>
      </c>
      <c r="C34" s="54" t="s">
        <v>886</v>
      </c>
      <c r="D34" s="84"/>
      <c r="E34" s="63"/>
      <c r="F34" s="83">
        <f>53000+100700</f>
        <v>153700</v>
      </c>
      <c r="G34" s="64">
        <v>138683</v>
      </c>
      <c r="H34" s="85">
        <f>1000+31970+63000</f>
        <v>95970</v>
      </c>
      <c r="I34" s="67"/>
      <c r="J34" s="71"/>
      <c r="K34" s="84">
        <f t="shared" si="3"/>
        <v>0</v>
      </c>
      <c r="L34" s="67">
        <f t="shared" si="4"/>
        <v>388353</v>
      </c>
    </row>
    <row r="35" spans="1:12" hidden="1" outlineLevel="1" x14ac:dyDescent="0.35">
      <c r="A35" s="37" t="s">
        <v>55</v>
      </c>
      <c r="B35" s="62" t="s">
        <v>56</v>
      </c>
      <c r="C35" s="54" t="s">
        <v>886</v>
      </c>
      <c r="D35" s="84"/>
      <c r="E35" s="63"/>
      <c r="F35" s="83"/>
      <c r="G35" s="64"/>
      <c r="H35" s="85"/>
      <c r="I35" s="67"/>
      <c r="J35" s="71"/>
      <c r="K35" s="84">
        <f t="shared" si="3"/>
        <v>0</v>
      </c>
      <c r="L35" s="67">
        <f t="shared" si="4"/>
        <v>0</v>
      </c>
    </row>
    <row r="36" spans="1:12" hidden="1" outlineLevel="1" x14ac:dyDescent="0.35">
      <c r="A36" s="37" t="s">
        <v>57</v>
      </c>
      <c r="B36" s="62" t="s">
        <v>58</v>
      </c>
      <c r="C36" s="54" t="s">
        <v>886</v>
      </c>
      <c r="D36" s="84"/>
      <c r="E36" s="63"/>
      <c r="F36" s="83"/>
      <c r="G36" s="64"/>
      <c r="H36" s="85"/>
      <c r="I36" s="67"/>
      <c r="J36" s="71"/>
      <c r="K36" s="84">
        <f t="shared" si="3"/>
        <v>0</v>
      </c>
      <c r="L36" s="67">
        <f t="shared" si="4"/>
        <v>0</v>
      </c>
    </row>
    <row r="37" spans="1:12" hidden="1" outlineLevel="1" x14ac:dyDescent="0.35">
      <c r="A37" s="37" t="s">
        <v>59</v>
      </c>
      <c r="B37" s="62" t="s">
        <v>60</v>
      </c>
      <c r="C37" s="54" t="s">
        <v>886</v>
      </c>
      <c r="D37" s="84"/>
      <c r="E37" s="63"/>
      <c r="F37" s="83"/>
      <c r="G37" s="64"/>
      <c r="H37" s="85"/>
      <c r="I37" s="67"/>
      <c r="J37" s="71"/>
      <c r="K37" s="84">
        <f t="shared" si="3"/>
        <v>0</v>
      </c>
      <c r="L37" s="67">
        <f t="shared" si="4"/>
        <v>0</v>
      </c>
    </row>
    <row r="38" spans="1:12" hidden="1" outlineLevel="1" x14ac:dyDescent="0.35">
      <c r="A38" s="37" t="s">
        <v>61</v>
      </c>
      <c r="B38" s="62" t="s">
        <v>62</v>
      </c>
      <c r="C38" s="54" t="s">
        <v>886</v>
      </c>
      <c r="D38" s="84"/>
      <c r="E38" s="63"/>
      <c r="F38" s="83"/>
      <c r="G38" s="64"/>
      <c r="H38" s="85"/>
      <c r="I38" s="67"/>
      <c r="J38" s="71"/>
      <c r="K38" s="84">
        <f t="shared" si="3"/>
        <v>0</v>
      </c>
      <c r="L38" s="67">
        <f t="shared" si="4"/>
        <v>0</v>
      </c>
    </row>
    <row r="39" spans="1:12" collapsed="1" x14ac:dyDescent="0.35">
      <c r="A39" s="37" t="s">
        <v>63</v>
      </c>
      <c r="B39" s="62" t="s">
        <v>64</v>
      </c>
      <c r="C39" s="54" t="s">
        <v>64</v>
      </c>
      <c r="D39" s="84"/>
      <c r="E39" s="63"/>
      <c r="F39" s="83"/>
      <c r="G39" s="64"/>
      <c r="H39" s="85"/>
      <c r="I39" s="67"/>
      <c r="J39" s="71"/>
      <c r="K39" s="84">
        <f t="shared" si="3"/>
        <v>0</v>
      </c>
      <c r="L39" s="67">
        <f t="shared" si="4"/>
        <v>0</v>
      </c>
    </row>
    <row r="40" spans="1:12" x14ac:dyDescent="0.35">
      <c r="A40" s="37" t="s">
        <v>65</v>
      </c>
      <c r="B40" s="62" t="s">
        <v>66</v>
      </c>
      <c r="C40" s="54" t="s">
        <v>66</v>
      </c>
      <c r="D40" s="84"/>
      <c r="E40" s="63"/>
      <c r="F40" s="83"/>
      <c r="G40" s="64"/>
      <c r="H40" s="85"/>
      <c r="I40" s="67"/>
      <c r="J40" s="71"/>
      <c r="K40" s="84">
        <f t="shared" si="3"/>
        <v>0</v>
      </c>
      <c r="L40" s="67">
        <f t="shared" si="4"/>
        <v>0</v>
      </c>
    </row>
    <row r="41" spans="1:12" x14ac:dyDescent="0.35">
      <c r="A41" s="37" t="s">
        <v>67</v>
      </c>
      <c r="B41" s="62" t="s">
        <v>68</v>
      </c>
      <c r="C41" s="54" t="s">
        <v>68</v>
      </c>
      <c r="D41" s="84"/>
      <c r="E41" s="63"/>
      <c r="F41" s="83"/>
      <c r="G41" s="64"/>
      <c r="H41" s="85"/>
      <c r="I41" s="67"/>
      <c r="J41" s="71"/>
      <c r="K41" s="84">
        <f t="shared" si="3"/>
        <v>0</v>
      </c>
      <c r="L41" s="67">
        <f t="shared" si="4"/>
        <v>0</v>
      </c>
    </row>
    <row r="42" spans="1:12" x14ac:dyDescent="0.35">
      <c r="A42" s="37" t="s">
        <v>69</v>
      </c>
      <c r="B42" s="62" t="s">
        <v>70</v>
      </c>
      <c r="C42" s="54" t="s">
        <v>887</v>
      </c>
      <c r="D42" s="84"/>
      <c r="E42" s="63">
        <v>2000</v>
      </c>
      <c r="F42" s="83"/>
      <c r="G42" s="64"/>
      <c r="H42" s="85"/>
      <c r="I42" s="67"/>
      <c r="J42" s="71"/>
      <c r="K42" s="84">
        <f t="shared" si="3"/>
        <v>0</v>
      </c>
      <c r="L42" s="67">
        <f t="shared" si="4"/>
        <v>2000</v>
      </c>
    </row>
    <row r="43" spans="1:12" x14ac:dyDescent="0.35">
      <c r="A43" s="37" t="s">
        <v>71</v>
      </c>
      <c r="B43" s="62" t="s">
        <v>72</v>
      </c>
      <c r="C43" s="54" t="s">
        <v>72</v>
      </c>
      <c r="D43" s="84"/>
      <c r="E43" s="63"/>
      <c r="F43" s="83"/>
      <c r="G43" s="64"/>
      <c r="H43" s="85"/>
      <c r="I43" s="67"/>
      <c r="J43" s="71"/>
      <c r="K43" s="84">
        <f t="shared" si="3"/>
        <v>0</v>
      </c>
      <c r="L43" s="67">
        <f t="shared" si="4"/>
        <v>0</v>
      </c>
    </row>
    <row r="44" spans="1:12" collapsed="1" x14ac:dyDescent="0.35">
      <c r="A44" s="37"/>
      <c r="B44" s="62" t="s">
        <v>888</v>
      </c>
      <c r="C44" s="54"/>
      <c r="D44" s="84">
        <f>SUM(D45:D46)</f>
        <v>0</v>
      </c>
      <c r="E44" s="64">
        <f t="shared" ref="E44:I44" si="9">SUM(E45:E46)</f>
        <v>0</v>
      </c>
      <c r="F44" s="84">
        <f t="shared" si="9"/>
        <v>0</v>
      </c>
      <c r="G44" s="64">
        <f t="shared" si="9"/>
        <v>0</v>
      </c>
      <c r="H44" s="84">
        <f t="shared" si="9"/>
        <v>0</v>
      </c>
      <c r="I44" s="64">
        <f t="shared" si="9"/>
        <v>0</v>
      </c>
      <c r="J44" s="71"/>
      <c r="K44" s="84">
        <f t="shared" si="3"/>
        <v>0</v>
      </c>
      <c r="L44" s="67">
        <f t="shared" si="4"/>
        <v>0</v>
      </c>
    </row>
    <row r="45" spans="1:12" hidden="1" outlineLevel="1" x14ac:dyDescent="0.35">
      <c r="A45" s="37" t="s">
        <v>73</v>
      </c>
      <c r="B45" s="69" t="s">
        <v>74</v>
      </c>
      <c r="C45" s="54" t="s">
        <v>888</v>
      </c>
      <c r="D45" s="84"/>
      <c r="E45" s="63"/>
      <c r="F45" s="83"/>
      <c r="G45" s="64"/>
      <c r="H45" s="85"/>
      <c r="I45" s="67"/>
      <c r="J45" s="71"/>
      <c r="K45" s="84">
        <f t="shared" si="3"/>
        <v>0</v>
      </c>
      <c r="L45" s="67">
        <f t="shared" si="4"/>
        <v>0</v>
      </c>
    </row>
    <row r="46" spans="1:12" hidden="1" outlineLevel="1" x14ac:dyDescent="0.35">
      <c r="A46" s="37" t="s">
        <v>75</v>
      </c>
      <c r="B46" s="69" t="s">
        <v>76</v>
      </c>
      <c r="C46" s="54" t="s">
        <v>888</v>
      </c>
      <c r="D46" s="84"/>
      <c r="E46" s="63"/>
      <c r="F46" s="83"/>
      <c r="G46" s="64"/>
      <c r="H46" s="85"/>
      <c r="I46" s="67"/>
      <c r="J46" s="71"/>
      <c r="K46" s="84">
        <f t="shared" si="3"/>
        <v>0</v>
      </c>
      <c r="L46" s="67">
        <f t="shared" si="4"/>
        <v>0</v>
      </c>
    </row>
    <row r="47" spans="1:12" collapsed="1" x14ac:dyDescent="0.35">
      <c r="A47" s="37"/>
      <c r="B47" s="62" t="s">
        <v>889</v>
      </c>
      <c r="C47" s="54"/>
      <c r="D47" s="84">
        <f>SUM(D48:D51)</f>
        <v>0</v>
      </c>
      <c r="E47" s="64">
        <f t="shared" ref="E47:I47" si="10">SUM(E48:E51)</f>
        <v>0</v>
      </c>
      <c r="F47" s="84">
        <f t="shared" si="10"/>
        <v>0</v>
      </c>
      <c r="G47" s="64">
        <f t="shared" si="10"/>
        <v>0</v>
      </c>
      <c r="H47" s="84">
        <f>SUM(H48:H51)</f>
        <v>0</v>
      </c>
      <c r="I47" s="64">
        <f t="shared" si="10"/>
        <v>0</v>
      </c>
      <c r="J47" s="71"/>
      <c r="K47" s="84">
        <f t="shared" si="3"/>
        <v>0</v>
      </c>
      <c r="L47" s="67">
        <f t="shared" si="4"/>
        <v>0</v>
      </c>
    </row>
    <row r="48" spans="1:12" hidden="1" outlineLevel="1" x14ac:dyDescent="0.35">
      <c r="A48" s="37" t="s">
        <v>77</v>
      </c>
      <c r="B48" s="62" t="s">
        <v>78</v>
      </c>
      <c r="C48" s="54" t="s">
        <v>889</v>
      </c>
      <c r="D48" s="84"/>
      <c r="E48" s="63"/>
      <c r="F48" s="83"/>
      <c r="G48" s="64"/>
      <c r="H48" s="85"/>
      <c r="I48" s="67"/>
      <c r="J48" s="71"/>
      <c r="K48" s="84">
        <f t="shared" si="3"/>
        <v>0</v>
      </c>
      <c r="L48" s="67">
        <f t="shared" si="4"/>
        <v>0</v>
      </c>
    </row>
    <row r="49" spans="1:12" hidden="1" outlineLevel="1" x14ac:dyDescent="0.35">
      <c r="A49" s="37" t="s">
        <v>79</v>
      </c>
      <c r="B49" s="62" t="s">
        <v>80</v>
      </c>
      <c r="C49" s="54" t="s">
        <v>889</v>
      </c>
      <c r="D49" s="84"/>
      <c r="E49" s="63"/>
      <c r="F49" s="83"/>
      <c r="G49" s="64"/>
      <c r="H49" s="85"/>
      <c r="I49" s="67"/>
      <c r="J49" s="71"/>
      <c r="K49" s="84">
        <f t="shared" si="3"/>
        <v>0</v>
      </c>
      <c r="L49" s="67">
        <f t="shared" si="4"/>
        <v>0</v>
      </c>
    </row>
    <row r="50" spans="1:12" hidden="1" outlineLevel="1" x14ac:dyDescent="0.35">
      <c r="A50" s="37" t="s">
        <v>81</v>
      </c>
      <c r="B50" s="69" t="s">
        <v>82</v>
      </c>
      <c r="C50" s="54" t="s">
        <v>889</v>
      </c>
      <c r="D50" s="84"/>
      <c r="E50" s="63"/>
      <c r="F50" s="83"/>
      <c r="G50" s="64"/>
      <c r="H50" s="85"/>
      <c r="I50" s="67"/>
      <c r="J50" s="71"/>
      <c r="K50" s="84">
        <f t="shared" si="3"/>
        <v>0</v>
      </c>
      <c r="L50" s="67">
        <f t="shared" si="4"/>
        <v>0</v>
      </c>
    </row>
    <row r="51" spans="1:12" hidden="1" outlineLevel="1" x14ac:dyDescent="0.35">
      <c r="A51" s="47" t="s">
        <v>83</v>
      </c>
      <c r="B51" s="70" t="s">
        <v>84</v>
      </c>
      <c r="C51" s="54" t="s">
        <v>889</v>
      </c>
      <c r="D51" s="84"/>
      <c r="E51" s="63"/>
      <c r="F51" s="83"/>
      <c r="G51" s="64"/>
      <c r="H51" s="85"/>
      <c r="I51" s="67"/>
      <c r="J51" s="71"/>
      <c r="K51" s="84">
        <f t="shared" si="3"/>
        <v>0</v>
      </c>
      <c r="L51" s="67">
        <f t="shared" si="4"/>
        <v>0</v>
      </c>
    </row>
    <row r="52" spans="1:12" collapsed="1" x14ac:dyDescent="0.35">
      <c r="A52" s="47"/>
      <c r="B52" s="62" t="s">
        <v>890</v>
      </c>
      <c r="C52" s="54"/>
      <c r="D52" s="84">
        <f>SUM(D53:D58)</f>
        <v>0</v>
      </c>
      <c r="E52" s="64">
        <f t="shared" ref="E52:I52" si="11">SUM(E53:E58)</f>
        <v>0</v>
      </c>
      <c r="F52" s="84">
        <f t="shared" si="11"/>
        <v>190772</v>
      </c>
      <c r="G52" s="64">
        <f t="shared" si="11"/>
        <v>43493</v>
      </c>
      <c r="H52" s="84">
        <f>SUM(H53:H58)</f>
        <v>163705</v>
      </c>
      <c r="I52" s="64">
        <f t="shared" si="11"/>
        <v>0</v>
      </c>
      <c r="J52" s="71"/>
      <c r="K52" s="84">
        <f t="shared" si="3"/>
        <v>0</v>
      </c>
      <c r="L52" s="67">
        <f t="shared" si="4"/>
        <v>397970</v>
      </c>
    </row>
    <row r="53" spans="1:12" hidden="1" outlineLevel="1" x14ac:dyDescent="0.35">
      <c r="A53" s="37" t="s">
        <v>85</v>
      </c>
      <c r="B53" s="62" t="s">
        <v>86</v>
      </c>
      <c r="C53" s="54" t="s">
        <v>890</v>
      </c>
      <c r="D53" s="84"/>
      <c r="E53" s="63"/>
      <c r="F53" s="83"/>
      <c r="G53" s="64"/>
      <c r="H53" s="85"/>
      <c r="I53" s="67"/>
      <c r="J53" s="71"/>
      <c r="K53" s="84">
        <f t="shared" si="3"/>
        <v>0</v>
      </c>
      <c r="L53" s="67">
        <f t="shared" si="4"/>
        <v>0</v>
      </c>
    </row>
    <row r="54" spans="1:12" hidden="1" outlineLevel="1" x14ac:dyDescent="0.35">
      <c r="A54" s="37" t="s">
        <v>87</v>
      </c>
      <c r="B54" s="62" t="s">
        <v>88</v>
      </c>
      <c r="C54" s="54" t="s">
        <v>890</v>
      </c>
      <c r="D54" s="84"/>
      <c r="E54" s="63"/>
      <c r="F54" s="83"/>
      <c r="G54" s="64"/>
      <c r="H54" s="85"/>
      <c r="I54" s="67"/>
      <c r="J54" s="71"/>
      <c r="K54" s="84">
        <f t="shared" si="3"/>
        <v>0</v>
      </c>
      <c r="L54" s="67">
        <f t="shared" si="4"/>
        <v>0</v>
      </c>
    </row>
    <row r="55" spans="1:12" hidden="1" outlineLevel="1" x14ac:dyDescent="0.35">
      <c r="A55" s="37" t="s">
        <v>89</v>
      </c>
      <c r="B55" s="62" t="s">
        <v>90</v>
      </c>
      <c r="C55" s="54" t="s">
        <v>890</v>
      </c>
      <c r="D55" s="84"/>
      <c r="E55" s="63"/>
      <c r="F55" s="83"/>
      <c r="G55" s="64"/>
      <c r="H55" s="85"/>
      <c r="I55" s="67"/>
      <c r="J55" s="71"/>
      <c r="K55" s="84">
        <f t="shared" si="3"/>
        <v>0</v>
      </c>
      <c r="L55" s="67">
        <f t="shared" si="4"/>
        <v>0</v>
      </c>
    </row>
    <row r="56" spans="1:12" hidden="1" outlineLevel="1" x14ac:dyDescent="0.35">
      <c r="A56" s="37" t="s">
        <v>91</v>
      </c>
      <c r="B56" s="62" t="s">
        <v>92</v>
      </c>
      <c r="C56" s="54" t="s">
        <v>890</v>
      </c>
      <c r="D56" s="84"/>
      <c r="E56" s="63"/>
      <c r="F56" s="83">
        <f>130426+48476+11870</f>
        <v>190772</v>
      </c>
      <c r="G56" s="64">
        <v>87751</v>
      </c>
      <c r="H56" s="85">
        <v>1000</v>
      </c>
      <c r="I56" s="67"/>
      <c r="J56" s="71"/>
      <c r="K56" s="84">
        <f t="shared" si="3"/>
        <v>0</v>
      </c>
      <c r="L56" s="67">
        <f t="shared" si="4"/>
        <v>279523</v>
      </c>
    </row>
    <row r="57" spans="1:12" hidden="1" outlineLevel="1" x14ac:dyDescent="0.35">
      <c r="A57" s="37" t="s">
        <v>93</v>
      </c>
      <c r="B57" s="62" t="s">
        <v>94</v>
      </c>
      <c r="C57" s="54" t="s">
        <v>890</v>
      </c>
      <c r="D57" s="84"/>
      <c r="E57" s="63"/>
      <c r="F57" s="83"/>
      <c r="G57" s="64">
        <v>-44258</v>
      </c>
      <c r="H57" s="85">
        <v>162705</v>
      </c>
      <c r="I57" s="67"/>
      <c r="J57" s="71"/>
      <c r="K57" s="84">
        <f t="shared" si="3"/>
        <v>0</v>
      </c>
      <c r="L57" s="67">
        <f t="shared" si="4"/>
        <v>118447</v>
      </c>
    </row>
    <row r="58" spans="1:12" hidden="1" outlineLevel="1" x14ac:dyDescent="0.35">
      <c r="A58" s="37" t="s">
        <v>95</v>
      </c>
      <c r="B58" s="62" t="s">
        <v>96</v>
      </c>
      <c r="C58" s="54" t="s">
        <v>890</v>
      </c>
      <c r="D58" s="84"/>
      <c r="E58" s="63"/>
      <c r="F58" s="83"/>
      <c r="G58" s="64"/>
      <c r="H58" s="85"/>
      <c r="I58" s="67"/>
      <c r="J58" s="71"/>
      <c r="K58" s="84">
        <f t="shared" si="3"/>
        <v>0</v>
      </c>
      <c r="L58" s="67">
        <f t="shared" si="4"/>
        <v>0</v>
      </c>
    </row>
    <row r="59" spans="1:12" collapsed="1" x14ac:dyDescent="0.35">
      <c r="A59" s="37"/>
      <c r="B59" s="62" t="s">
        <v>98</v>
      </c>
      <c r="C59" s="65"/>
      <c r="D59" s="85">
        <f>SUM(D60:D64)</f>
        <v>0</v>
      </c>
      <c r="E59" s="65">
        <f t="shared" ref="E59:I59" si="12">SUM(E60:E64)</f>
        <v>26750</v>
      </c>
      <c r="F59" s="85">
        <f t="shared" si="12"/>
        <v>3200</v>
      </c>
      <c r="G59" s="65">
        <f t="shared" si="12"/>
        <v>-17400</v>
      </c>
      <c r="H59" s="85">
        <f t="shared" si="12"/>
        <v>50120</v>
      </c>
      <c r="I59" s="65">
        <f t="shared" si="12"/>
        <v>410213</v>
      </c>
      <c r="J59" s="71"/>
      <c r="K59" s="84">
        <f t="shared" si="3"/>
        <v>410213</v>
      </c>
      <c r="L59" s="67">
        <f t="shared" si="4"/>
        <v>472883</v>
      </c>
    </row>
    <row r="60" spans="1:12" hidden="1" outlineLevel="1" x14ac:dyDescent="0.35">
      <c r="A60" s="37" t="s">
        <v>97</v>
      </c>
      <c r="B60" s="62" t="s">
        <v>98</v>
      </c>
      <c r="C60" s="54" t="s">
        <v>98</v>
      </c>
      <c r="D60" s="84"/>
      <c r="E60" s="63">
        <v>26750</v>
      </c>
      <c r="F60" s="83">
        <v>3000</v>
      </c>
      <c r="G60" s="64">
        <v>9200</v>
      </c>
      <c r="H60" s="85">
        <v>50120</v>
      </c>
      <c r="I60" s="67"/>
      <c r="J60" s="71"/>
      <c r="K60" s="84">
        <f t="shared" si="3"/>
        <v>0</v>
      </c>
      <c r="L60" s="67">
        <f t="shared" si="4"/>
        <v>89070</v>
      </c>
    </row>
    <row r="61" spans="1:12" hidden="1" outlineLevel="1" x14ac:dyDescent="0.35">
      <c r="A61" s="37" t="s">
        <v>105</v>
      </c>
      <c r="B61" s="62" t="s">
        <v>106</v>
      </c>
      <c r="C61" s="54" t="s">
        <v>98</v>
      </c>
      <c r="D61" s="84"/>
      <c r="E61" s="63"/>
      <c r="F61" s="83"/>
      <c r="G61" s="64"/>
      <c r="H61" s="85"/>
      <c r="I61" s="67"/>
      <c r="J61" s="71"/>
      <c r="K61" s="84">
        <f t="shared" si="3"/>
        <v>0</v>
      </c>
      <c r="L61" s="67">
        <f t="shared" si="4"/>
        <v>0</v>
      </c>
    </row>
    <row r="62" spans="1:12" hidden="1" outlineLevel="1" x14ac:dyDescent="0.35">
      <c r="A62" s="37" t="s">
        <v>112</v>
      </c>
      <c r="B62" s="62" t="s">
        <v>113</v>
      </c>
      <c r="C62" s="54" t="s">
        <v>98</v>
      </c>
      <c r="D62" s="84"/>
      <c r="E62" s="63"/>
      <c r="F62" s="83">
        <v>200</v>
      </c>
      <c r="G62" s="64"/>
      <c r="H62" s="85"/>
      <c r="I62" s="67">
        <v>410213</v>
      </c>
      <c r="J62" s="71"/>
      <c r="K62" s="84">
        <f t="shared" si="3"/>
        <v>410213</v>
      </c>
      <c r="L62" s="67">
        <f t="shared" si="4"/>
        <v>410413</v>
      </c>
    </row>
    <row r="63" spans="1:12" hidden="1" outlineLevel="1" x14ac:dyDescent="0.35">
      <c r="A63" s="37" t="s">
        <v>147</v>
      </c>
      <c r="B63" s="62" t="s">
        <v>148</v>
      </c>
      <c r="C63" s="54" t="s">
        <v>98</v>
      </c>
      <c r="D63" s="83"/>
      <c r="E63" s="63"/>
      <c r="F63" s="83"/>
      <c r="G63" s="64">
        <v>-26600</v>
      </c>
      <c r="H63" s="85"/>
      <c r="I63" s="67"/>
      <c r="J63" s="71"/>
      <c r="K63" s="84">
        <f t="shared" si="3"/>
        <v>0</v>
      </c>
      <c r="L63" s="67">
        <f t="shared" si="4"/>
        <v>-26600</v>
      </c>
    </row>
    <row r="64" spans="1:12" hidden="1" outlineLevel="1" x14ac:dyDescent="0.35">
      <c r="A64" s="37" t="s">
        <v>149</v>
      </c>
      <c r="B64" s="62" t="s">
        <v>150</v>
      </c>
      <c r="C64" s="54" t="s">
        <v>98</v>
      </c>
      <c r="D64" s="83"/>
      <c r="E64" s="63"/>
      <c r="F64" s="83"/>
      <c r="G64" s="64"/>
      <c r="H64" s="85"/>
      <c r="I64" s="67"/>
      <c r="J64" s="71"/>
      <c r="K64" s="84">
        <f t="shared" si="3"/>
        <v>0</v>
      </c>
      <c r="L64" s="67">
        <f t="shared" si="4"/>
        <v>0</v>
      </c>
    </row>
    <row r="65" spans="1:12" collapsed="1" x14ac:dyDescent="0.35">
      <c r="A65" s="37"/>
      <c r="B65" s="62" t="s">
        <v>889</v>
      </c>
      <c r="C65" s="54"/>
      <c r="D65" s="84">
        <f>SUM(D66:D96)</f>
        <v>0</v>
      </c>
      <c r="E65" s="64">
        <f t="shared" ref="E65:I65" si="13">SUM(E66:E96)</f>
        <v>0</v>
      </c>
      <c r="F65" s="84">
        <f t="shared" si="13"/>
        <v>4410</v>
      </c>
      <c r="G65" s="64">
        <f t="shared" si="13"/>
        <v>1786837</v>
      </c>
      <c r="H65" s="84">
        <f t="shared" si="13"/>
        <v>4071</v>
      </c>
      <c r="I65" s="64">
        <f t="shared" si="13"/>
        <v>0</v>
      </c>
      <c r="J65" s="71"/>
      <c r="K65" s="84">
        <f t="shared" si="3"/>
        <v>0</v>
      </c>
      <c r="L65" s="67">
        <f t="shared" si="4"/>
        <v>1795318</v>
      </c>
    </row>
    <row r="66" spans="1:12" hidden="1" outlineLevel="1" x14ac:dyDescent="0.35">
      <c r="A66" s="37" t="s">
        <v>99</v>
      </c>
      <c r="B66" s="62" t="s">
        <v>100</v>
      </c>
      <c r="C66" s="54" t="s">
        <v>889</v>
      </c>
      <c r="D66" s="84"/>
      <c r="E66" s="63"/>
      <c r="F66" s="83"/>
      <c r="G66" s="64">
        <v>2347000</v>
      </c>
      <c r="H66" s="85"/>
      <c r="I66" s="67"/>
      <c r="J66" s="71"/>
      <c r="K66" s="84">
        <f t="shared" si="3"/>
        <v>0</v>
      </c>
      <c r="L66" s="67">
        <f t="shared" si="4"/>
        <v>2347000</v>
      </c>
    </row>
    <row r="67" spans="1:12" hidden="1" outlineLevel="1" x14ac:dyDescent="0.35">
      <c r="A67" s="37" t="s">
        <v>101</v>
      </c>
      <c r="B67" s="71" t="s">
        <v>102</v>
      </c>
      <c r="C67" s="54" t="s">
        <v>889</v>
      </c>
      <c r="D67" s="84"/>
      <c r="E67" s="63"/>
      <c r="F67" s="83"/>
      <c r="G67" s="64">
        <v>4890</v>
      </c>
      <c r="H67" s="85"/>
      <c r="I67" s="67"/>
      <c r="J67" s="71"/>
      <c r="K67" s="84">
        <f t="shared" si="3"/>
        <v>0</v>
      </c>
      <c r="L67" s="67">
        <f t="shared" si="4"/>
        <v>4890</v>
      </c>
    </row>
    <row r="68" spans="1:12" hidden="1" outlineLevel="1" x14ac:dyDescent="0.35">
      <c r="A68" s="37" t="s">
        <v>103</v>
      </c>
      <c r="B68" s="62" t="s">
        <v>104</v>
      </c>
      <c r="C68" s="54" t="s">
        <v>889</v>
      </c>
      <c r="D68" s="84"/>
      <c r="E68" s="63"/>
      <c r="F68" s="83"/>
      <c r="G68" s="64"/>
      <c r="H68" s="85"/>
      <c r="I68" s="67"/>
      <c r="J68" s="71"/>
      <c r="K68" s="84">
        <f t="shared" si="3"/>
        <v>0</v>
      </c>
      <c r="L68" s="67">
        <f t="shared" si="4"/>
        <v>0</v>
      </c>
    </row>
    <row r="69" spans="1:12" hidden="1" outlineLevel="1" x14ac:dyDescent="0.35">
      <c r="A69" s="37" t="s">
        <v>107</v>
      </c>
      <c r="B69" s="62" t="s">
        <v>108</v>
      </c>
      <c r="C69" s="54" t="s">
        <v>889</v>
      </c>
      <c r="D69" s="84"/>
      <c r="E69" s="63"/>
      <c r="F69" s="83"/>
      <c r="G69" s="64">
        <v>-2347000</v>
      </c>
      <c r="H69" s="85"/>
      <c r="I69" s="67"/>
      <c r="J69" s="71"/>
      <c r="K69" s="84">
        <f t="shared" si="3"/>
        <v>0</v>
      </c>
      <c r="L69" s="67">
        <f t="shared" si="4"/>
        <v>-2347000</v>
      </c>
    </row>
    <row r="70" spans="1:12" hidden="1" outlineLevel="1" x14ac:dyDescent="0.35">
      <c r="A70" s="37" t="s">
        <v>109</v>
      </c>
      <c r="B70" s="62" t="s">
        <v>110</v>
      </c>
      <c r="C70" s="54" t="s">
        <v>889</v>
      </c>
      <c r="D70" s="84"/>
      <c r="E70" s="63"/>
      <c r="F70" s="83"/>
      <c r="G70" s="64"/>
      <c r="H70" s="85"/>
      <c r="I70" s="67"/>
      <c r="J70" s="71"/>
      <c r="K70" s="84">
        <f t="shared" si="3"/>
        <v>0</v>
      </c>
      <c r="L70" s="67">
        <f t="shared" si="4"/>
        <v>0</v>
      </c>
    </row>
    <row r="71" spans="1:12" hidden="1" outlineLevel="1" x14ac:dyDescent="0.35">
      <c r="A71" s="37" t="s">
        <v>111</v>
      </c>
      <c r="B71" s="62" t="s">
        <v>110</v>
      </c>
      <c r="C71" s="54" t="s">
        <v>889</v>
      </c>
      <c r="D71" s="84"/>
      <c r="E71" s="63"/>
      <c r="F71" s="83"/>
      <c r="G71" s="64"/>
      <c r="H71" s="85"/>
      <c r="I71" s="67"/>
      <c r="J71" s="71"/>
      <c r="K71" s="84">
        <f t="shared" si="3"/>
        <v>0</v>
      </c>
      <c r="L71" s="67">
        <f t="shared" si="4"/>
        <v>0</v>
      </c>
    </row>
    <row r="72" spans="1:12" hidden="1" outlineLevel="1" x14ac:dyDescent="0.35">
      <c r="A72" s="37" t="s">
        <v>114</v>
      </c>
      <c r="B72" s="62" t="s">
        <v>115</v>
      </c>
      <c r="C72" s="54" t="s">
        <v>889</v>
      </c>
      <c r="D72" s="84"/>
      <c r="E72" s="63"/>
      <c r="F72" s="83"/>
      <c r="G72" s="64"/>
      <c r="H72" s="85"/>
      <c r="I72" s="67"/>
      <c r="J72" s="71"/>
      <c r="K72" s="84">
        <f t="shared" si="3"/>
        <v>0</v>
      </c>
      <c r="L72" s="67">
        <f t="shared" si="4"/>
        <v>0</v>
      </c>
    </row>
    <row r="73" spans="1:12" hidden="1" outlineLevel="1" x14ac:dyDescent="0.35">
      <c r="A73" s="37" t="s">
        <v>116</v>
      </c>
      <c r="B73" s="62" t="s">
        <v>117</v>
      </c>
      <c r="C73" s="54" t="s">
        <v>889</v>
      </c>
      <c r="D73" s="83"/>
      <c r="E73" s="63"/>
      <c r="F73" s="83"/>
      <c r="G73" s="64"/>
      <c r="H73" s="85"/>
      <c r="I73" s="67"/>
      <c r="J73" s="71"/>
      <c r="K73" s="84">
        <f t="shared" ref="K73:K136" si="14">J73+I73</f>
        <v>0</v>
      </c>
      <c r="L73" s="67">
        <f t="shared" ref="L73:L136" si="15">K73+D73+E73+F73+G73+H73</f>
        <v>0</v>
      </c>
    </row>
    <row r="74" spans="1:12" hidden="1" outlineLevel="1" x14ac:dyDescent="0.35">
      <c r="A74" s="37" t="s">
        <v>118</v>
      </c>
      <c r="B74" s="62" t="s">
        <v>119</v>
      </c>
      <c r="C74" s="54" t="s">
        <v>889</v>
      </c>
      <c r="D74" s="83"/>
      <c r="E74" s="63"/>
      <c r="F74" s="83"/>
      <c r="G74" s="64"/>
      <c r="H74" s="85"/>
      <c r="I74" s="67"/>
      <c r="J74" s="71"/>
      <c r="K74" s="84">
        <f t="shared" si="14"/>
        <v>0</v>
      </c>
      <c r="L74" s="67">
        <f t="shared" si="15"/>
        <v>0</v>
      </c>
    </row>
    <row r="75" spans="1:12" hidden="1" outlineLevel="1" x14ac:dyDescent="0.35">
      <c r="A75" s="37" t="s">
        <v>120</v>
      </c>
      <c r="B75" s="62" t="s">
        <v>121</v>
      </c>
      <c r="C75" s="54" t="s">
        <v>889</v>
      </c>
      <c r="D75" s="83"/>
      <c r="E75" s="63"/>
      <c r="F75" s="83"/>
      <c r="G75" s="64"/>
      <c r="H75" s="85"/>
      <c r="I75" s="67"/>
      <c r="J75" s="71"/>
      <c r="K75" s="84">
        <f t="shared" si="14"/>
        <v>0</v>
      </c>
      <c r="L75" s="67">
        <f t="shared" si="15"/>
        <v>0</v>
      </c>
    </row>
    <row r="76" spans="1:12" hidden="1" outlineLevel="1" x14ac:dyDescent="0.35">
      <c r="A76" s="37" t="s">
        <v>122</v>
      </c>
      <c r="B76" s="62" t="s">
        <v>123</v>
      </c>
      <c r="C76" s="54" t="s">
        <v>889</v>
      </c>
      <c r="D76" s="83"/>
      <c r="E76" s="63"/>
      <c r="F76" s="83"/>
      <c r="G76" s="64"/>
      <c r="H76" s="85"/>
      <c r="I76" s="67"/>
      <c r="J76" s="71"/>
      <c r="K76" s="84">
        <f t="shared" si="14"/>
        <v>0</v>
      </c>
      <c r="L76" s="67">
        <f t="shared" si="15"/>
        <v>0</v>
      </c>
    </row>
    <row r="77" spans="1:12" hidden="1" outlineLevel="1" x14ac:dyDescent="0.35">
      <c r="A77" s="37" t="s">
        <v>124</v>
      </c>
      <c r="B77" s="62" t="s">
        <v>125</v>
      </c>
      <c r="C77" s="54" t="s">
        <v>889</v>
      </c>
      <c r="D77" s="83"/>
      <c r="E77" s="63"/>
      <c r="F77" s="83"/>
      <c r="G77" s="64"/>
      <c r="H77" s="85"/>
      <c r="I77" s="67"/>
      <c r="J77" s="71"/>
      <c r="K77" s="84">
        <f t="shared" si="14"/>
        <v>0</v>
      </c>
      <c r="L77" s="67">
        <f t="shared" si="15"/>
        <v>0</v>
      </c>
    </row>
    <row r="78" spans="1:12" hidden="1" outlineLevel="1" x14ac:dyDescent="0.35">
      <c r="A78" s="37" t="s">
        <v>126</v>
      </c>
      <c r="B78" s="62" t="s">
        <v>127</v>
      </c>
      <c r="C78" s="54" t="s">
        <v>889</v>
      </c>
      <c r="D78" s="83"/>
      <c r="E78" s="63"/>
      <c r="F78" s="83"/>
      <c r="G78" s="64"/>
      <c r="H78" s="85"/>
      <c r="I78" s="67"/>
      <c r="J78" s="71"/>
      <c r="K78" s="84">
        <f t="shared" si="14"/>
        <v>0</v>
      </c>
      <c r="L78" s="67">
        <f t="shared" si="15"/>
        <v>0</v>
      </c>
    </row>
    <row r="79" spans="1:12" hidden="1" outlineLevel="1" x14ac:dyDescent="0.35">
      <c r="A79" s="37" t="s">
        <v>128</v>
      </c>
      <c r="B79" s="62" t="s">
        <v>129</v>
      </c>
      <c r="C79" s="54" t="s">
        <v>889</v>
      </c>
      <c r="D79" s="83"/>
      <c r="E79" s="63"/>
      <c r="F79" s="83"/>
      <c r="G79" s="64"/>
      <c r="H79" s="85"/>
      <c r="I79" s="67"/>
      <c r="J79" s="71"/>
      <c r="K79" s="84">
        <f t="shared" si="14"/>
        <v>0</v>
      </c>
      <c r="L79" s="67">
        <f t="shared" si="15"/>
        <v>0</v>
      </c>
    </row>
    <row r="80" spans="1:12" hidden="1" outlineLevel="1" x14ac:dyDescent="0.35">
      <c r="A80" s="37" t="s">
        <v>130</v>
      </c>
      <c r="B80" s="62" t="s">
        <v>131</v>
      </c>
      <c r="C80" s="54" t="s">
        <v>889</v>
      </c>
      <c r="D80" s="83"/>
      <c r="E80" s="63"/>
      <c r="F80" s="83"/>
      <c r="G80" s="64"/>
      <c r="H80" s="85"/>
      <c r="I80" s="67"/>
      <c r="J80" s="71"/>
      <c r="K80" s="84">
        <f t="shared" si="14"/>
        <v>0</v>
      </c>
      <c r="L80" s="67">
        <f t="shared" si="15"/>
        <v>0</v>
      </c>
    </row>
    <row r="81" spans="1:12" hidden="1" outlineLevel="1" x14ac:dyDescent="0.35">
      <c r="A81" s="37" t="s">
        <v>132</v>
      </c>
      <c r="B81" s="62" t="s">
        <v>133</v>
      </c>
      <c r="C81" s="54" t="s">
        <v>889</v>
      </c>
      <c r="D81" s="83"/>
      <c r="E81" s="63"/>
      <c r="F81" s="83"/>
      <c r="G81" s="64"/>
      <c r="H81" s="85"/>
      <c r="I81" s="67"/>
      <c r="J81" s="71"/>
      <c r="K81" s="84">
        <f t="shared" si="14"/>
        <v>0</v>
      </c>
      <c r="L81" s="67">
        <f t="shared" si="15"/>
        <v>0</v>
      </c>
    </row>
    <row r="82" spans="1:12" hidden="1" outlineLevel="1" x14ac:dyDescent="0.35">
      <c r="A82" s="37" t="s">
        <v>134</v>
      </c>
      <c r="B82" s="62" t="s">
        <v>135</v>
      </c>
      <c r="C82" s="54" t="s">
        <v>889</v>
      </c>
      <c r="D82" s="83"/>
      <c r="E82" s="63"/>
      <c r="F82" s="83"/>
      <c r="G82" s="64"/>
      <c r="H82" s="85"/>
      <c r="I82" s="67"/>
      <c r="J82" s="71"/>
      <c r="K82" s="84">
        <f t="shared" si="14"/>
        <v>0</v>
      </c>
      <c r="L82" s="67">
        <f t="shared" si="15"/>
        <v>0</v>
      </c>
    </row>
    <row r="83" spans="1:12" hidden="1" outlineLevel="1" x14ac:dyDescent="0.35">
      <c r="A83" s="37" t="s">
        <v>136</v>
      </c>
      <c r="B83" s="62" t="s">
        <v>137</v>
      </c>
      <c r="C83" s="54" t="s">
        <v>889</v>
      </c>
      <c r="D83" s="83"/>
      <c r="E83" s="63"/>
      <c r="F83" s="83"/>
      <c r="G83" s="64">
        <v>1722000</v>
      </c>
      <c r="H83" s="85">
        <v>4071</v>
      </c>
      <c r="I83" s="67"/>
      <c r="J83" s="71"/>
      <c r="K83" s="84">
        <f t="shared" si="14"/>
        <v>0</v>
      </c>
      <c r="L83" s="67">
        <f t="shared" si="15"/>
        <v>1726071</v>
      </c>
    </row>
    <row r="84" spans="1:12" hidden="1" outlineLevel="1" x14ac:dyDescent="0.35">
      <c r="A84" s="37" t="s">
        <v>138</v>
      </c>
      <c r="B84" s="62" t="s">
        <v>139</v>
      </c>
      <c r="C84" s="54" t="s">
        <v>889</v>
      </c>
      <c r="D84" s="83"/>
      <c r="E84" s="63"/>
      <c r="F84" s="83"/>
      <c r="G84" s="64"/>
      <c r="H84" s="85"/>
      <c r="I84" s="67"/>
      <c r="J84" s="71"/>
      <c r="K84" s="84">
        <f t="shared" si="14"/>
        <v>0</v>
      </c>
      <c r="L84" s="67">
        <f t="shared" si="15"/>
        <v>0</v>
      </c>
    </row>
    <row r="85" spans="1:12" hidden="1" outlineLevel="1" x14ac:dyDescent="0.35">
      <c r="A85" s="37" t="s">
        <v>140</v>
      </c>
      <c r="B85" s="62" t="s">
        <v>141</v>
      </c>
      <c r="C85" s="54" t="s">
        <v>889</v>
      </c>
      <c r="D85" s="83"/>
      <c r="E85" s="63"/>
      <c r="F85" s="83"/>
      <c r="G85" s="64"/>
      <c r="H85" s="85"/>
      <c r="I85" s="67"/>
      <c r="J85" s="71"/>
      <c r="K85" s="84">
        <f t="shared" si="14"/>
        <v>0</v>
      </c>
      <c r="L85" s="67">
        <f t="shared" si="15"/>
        <v>0</v>
      </c>
    </row>
    <row r="86" spans="1:12" hidden="1" outlineLevel="1" x14ac:dyDescent="0.35">
      <c r="A86" s="37" t="s">
        <v>142</v>
      </c>
      <c r="B86" s="62" t="s">
        <v>143</v>
      </c>
      <c r="C86" s="54" t="s">
        <v>889</v>
      </c>
      <c r="D86" s="83"/>
      <c r="E86" s="63"/>
      <c r="F86" s="83"/>
      <c r="G86" s="64"/>
      <c r="H86" s="85"/>
      <c r="I86" s="67"/>
      <c r="J86" s="71"/>
      <c r="K86" s="84">
        <f t="shared" si="14"/>
        <v>0</v>
      </c>
      <c r="L86" s="67">
        <f t="shared" si="15"/>
        <v>0</v>
      </c>
    </row>
    <row r="87" spans="1:12" hidden="1" outlineLevel="1" x14ac:dyDescent="0.35">
      <c r="A87" s="37" t="s">
        <v>144</v>
      </c>
      <c r="B87" s="62" t="s">
        <v>143</v>
      </c>
      <c r="C87" s="54" t="s">
        <v>889</v>
      </c>
      <c r="D87" s="83"/>
      <c r="E87" s="63"/>
      <c r="F87" s="83"/>
      <c r="G87" s="64"/>
      <c r="H87" s="85"/>
      <c r="I87" s="67"/>
      <c r="J87" s="71"/>
      <c r="K87" s="84">
        <f t="shared" si="14"/>
        <v>0</v>
      </c>
      <c r="L87" s="67">
        <f t="shared" si="15"/>
        <v>0</v>
      </c>
    </row>
    <row r="88" spans="1:12" hidden="1" outlineLevel="1" x14ac:dyDescent="0.35">
      <c r="A88" s="37" t="s">
        <v>145</v>
      </c>
      <c r="B88" s="62" t="s">
        <v>143</v>
      </c>
      <c r="C88" s="54" t="s">
        <v>889</v>
      </c>
      <c r="D88" s="83"/>
      <c r="E88" s="63"/>
      <c r="F88" s="83"/>
      <c r="G88" s="64"/>
      <c r="H88" s="85"/>
      <c r="I88" s="67"/>
      <c r="J88" s="71"/>
      <c r="K88" s="84">
        <f t="shared" si="14"/>
        <v>0</v>
      </c>
      <c r="L88" s="67">
        <f t="shared" si="15"/>
        <v>0</v>
      </c>
    </row>
    <row r="89" spans="1:12" hidden="1" outlineLevel="1" x14ac:dyDescent="0.35">
      <c r="A89" s="37" t="s">
        <v>146</v>
      </c>
      <c r="B89" s="62" t="s">
        <v>143</v>
      </c>
      <c r="C89" s="54" t="s">
        <v>889</v>
      </c>
      <c r="D89" s="83"/>
      <c r="E89" s="63"/>
      <c r="F89" s="83"/>
      <c r="G89" s="64"/>
      <c r="H89" s="85"/>
      <c r="I89" s="67"/>
      <c r="J89" s="71"/>
      <c r="K89" s="84">
        <f t="shared" si="14"/>
        <v>0</v>
      </c>
      <c r="L89" s="67">
        <f t="shared" si="15"/>
        <v>0</v>
      </c>
    </row>
    <row r="90" spans="1:12" hidden="1" outlineLevel="1" x14ac:dyDescent="0.35">
      <c r="A90" s="37" t="s">
        <v>151</v>
      </c>
      <c r="B90" s="62" t="s">
        <v>152</v>
      </c>
      <c r="C90" s="54" t="s">
        <v>889</v>
      </c>
      <c r="D90" s="83"/>
      <c r="E90" s="63"/>
      <c r="F90" s="83"/>
      <c r="G90" s="64"/>
      <c r="H90" s="85"/>
      <c r="I90" s="67"/>
      <c r="J90" s="71"/>
      <c r="K90" s="84">
        <f t="shared" si="14"/>
        <v>0</v>
      </c>
      <c r="L90" s="67">
        <f t="shared" si="15"/>
        <v>0</v>
      </c>
    </row>
    <row r="91" spans="1:12" hidden="1" outlineLevel="1" x14ac:dyDescent="0.35">
      <c r="A91" s="37" t="s">
        <v>153</v>
      </c>
      <c r="B91" s="62" t="s">
        <v>154</v>
      </c>
      <c r="C91" s="54" t="s">
        <v>889</v>
      </c>
      <c r="D91" s="83"/>
      <c r="E91" s="63"/>
      <c r="F91" s="83"/>
      <c r="G91" s="64"/>
      <c r="H91" s="85"/>
      <c r="I91" s="67"/>
      <c r="J91" s="71"/>
      <c r="K91" s="84">
        <f t="shared" si="14"/>
        <v>0</v>
      </c>
      <c r="L91" s="67">
        <f t="shared" si="15"/>
        <v>0</v>
      </c>
    </row>
    <row r="92" spans="1:12" hidden="1" outlineLevel="1" x14ac:dyDescent="0.35">
      <c r="A92" s="37" t="s">
        <v>155</v>
      </c>
      <c r="B92" s="62" t="s">
        <v>156</v>
      </c>
      <c r="C92" s="54" t="s">
        <v>889</v>
      </c>
      <c r="D92" s="83"/>
      <c r="E92" s="63"/>
      <c r="F92" s="83"/>
      <c r="G92" s="64"/>
      <c r="H92" s="85"/>
      <c r="I92" s="67"/>
      <c r="J92" s="71"/>
      <c r="K92" s="84">
        <f t="shared" si="14"/>
        <v>0</v>
      </c>
      <c r="L92" s="67">
        <f t="shared" si="15"/>
        <v>0</v>
      </c>
    </row>
    <row r="93" spans="1:12" hidden="1" outlineLevel="1" x14ac:dyDescent="0.35">
      <c r="A93" s="37" t="s">
        <v>157</v>
      </c>
      <c r="B93" s="62" t="s">
        <v>158</v>
      </c>
      <c r="C93" s="54" t="s">
        <v>889</v>
      </c>
      <c r="D93" s="83"/>
      <c r="E93" s="63"/>
      <c r="F93" s="83">
        <v>4410</v>
      </c>
      <c r="G93" s="64">
        <v>59947</v>
      </c>
      <c r="H93" s="85"/>
      <c r="I93" s="67"/>
      <c r="J93" s="71"/>
      <c r="K93" s="84">
        <f t="shared" si="14"/>
        <v>0</v>
      </c>
      <c r="L93" s="67">
        <f t="shared" si="15"/>
        <v>64357</v>
      </c>
    </row>
    <row r="94" spans="1:12" hidden="1" outlineLevel="1" x14ac:dyDescent="0.35">
      <c r="A94" s="37" t="s">
        <v>159</v>
      </c>
      <c r="B94" s="62" t="s">
        <v>160</v>
      </c>
      <c r="C94" s="54" t="s">
        <v>889</v>
      </c>
      <c r="D94" s="83"/>
      <c r="E94" s="63"/>
      <c r="F94" s="83"/>
      <c r="G94" s="64"/>
      <c r="H94" s="85"/>
      <c r="I94" s="67"/>
      <c r="J94" s="71"/>
      <c r="K94" s="84">
        <f t="shared" si="14"/>
        <v>0</v>
      </c>
      <c r="L94" s="67">
        <f t="shared" si="15"/>
        <v>0</v>
      </c>
    </row>
    <row r="95" spans="1:12" hidden="1" outlineLevel="1" x14ac:dyDescent="0.35">
      <c r="A95" s="37" t="s">
        <v>161</v>
      </c>
      <c r="B95" s="62" t="s">
        <v>162</v>
      </c>
      <c r="C95" s="54" t="s">
        <v>889</v>
      </c>
      <c r="D95" s="83"/>
      <c r="E95" s="63"/>
      <c r="F95" s="83"/>
      <c r="G95" s="64"/>
      <c r="H95" s="85"/>
      <c r="I95" s="67"/>
      <c r="J95" s="71"/>
      <c r="K95" s="84">
        <f t="shared" si="14"/>
        <v>0</v>
      </c>
      <c r="L95" s="67">
        <f t="shared" si="15"/>
        <v>0</v>
      </c>
    </row>
    <row r="96" spans="1:12" hidden="1" outlineLevel="1" x14ac:dyDescent="0.35">
      <c r="A96" s="37" t="s">
        <v>163</v>
      </c>
      <c r="B96" s="62" t="s">
        <v>164</v>
      </c>
      <c r="C96" s="54" t="s">
        <v>889</v>
      </c>
      <c r="D96" s="83"/>
      <c r="E96" s="63"/>
      <c r="F96" s="83"/>
      <c r="G96" s="64"/>
      <c r="H96" s="85"/>
      <c r="I96" s="67"/>
      <c r="J96" s="71"/>
      <c r="K96" s="84">
        <f t="shared" si="14"/>
        <v>0</v>
      </c>
      <c r="L96" s="67">
        <f t="shared" si="15"/>
        <v>0</v>
      </c>
    </row>
    <row r="97" spans="1:12" collapsed="1" x14ac:dyDescent="0.35">
      <c r="A97" s="37" t="s">
        <v>165</v>
      </c>
      <c r="B97" s="62" t="s">
        <v>166</v>
      </c>
      <c r="C97" s="54" t="s">
        <v>166</v>
      </c>
      <c r="D97" s="83"/>
      <c r="E97" s="63"/>
      <c r="F97" s="83"/>
      <c r="G97" s="64"/>
      <c r="H97" s="85"/>
      <c r="I97" s="67"/>
      <c r="J97" s="71"/>
      <c r="K97" s="84">
        <f t="shared" si="14"/>
        <v>0</v>
      </c>
      <c r="L97" s="67">
        <f t="shared" si="15"/>
        <v>0</v>
      </c>
    </row>
    <row r="98" spans="1:12" x14ac:dyDescent="0.35">
      <c r="A98" s="37" t="s">
        <v>167</v>
      </c>
      <c r="B98" s="62" t="s">
        <v>168</v>
      </c>
      <c r="C98" s="54" t="s">
        <v>168</v>
      </c>
      <c r="D98" s="83"/>
      <c r="E98" s="63"/>
      <c r="F98" s="83"/>
      <c r="G98" s="64"/>
      <c r="H98" s="85"/>
      <c r="I98" s="67"/>
      <c r="J98" s="71"/>
      <c r="K98" s="84">
        <f t="shared" si="14"/>
        <v>0</v>
      </c>
      <c r="L98" s="67">
        <f t="shared" si="15"/>
        <v>0</v>
      </c>
    </row>
    <row r="99" spans="1:12" x14ac:dyDescent="0.35">
      <c r="A99" s="37" t="s">
        <v>169</v>
      </c>
      <c r="B99" s="62" t="s">
        <v>170</v>
      </c>
      <c r="C99" s="54" t="s">
        <v>891</v>
      </c>
      <c r="D99" s="83"/>
      <c r="E99" s="63"/>
      <c r="F99" s="83"/>
      <c r="G99" s="64"/>
      <c r="H99" s="85"/>
      <c r="I99" s="67"/>
      <c r="J99" s="71"/>
      <c r="K99" s="84">
        <f t="shared" si="14"/>
        <v>0</v>
      </c>
      <c r="L99" s="67">
        <f t="shared" si="15"/>
        <v>0</v>
      </c>
    </row>
    <row r="100" spans="1:12" x14ac:dyDescent="0.35">
      <c r="A100" s="37" t="s">
        <v>171</v>
      </c>
      <c r="B100" s="62" t="s">
        <v>172</v>
      </c>
      <c r="C100" s="54" t="s">
        <v>892</v>
      </c>
      <c r="D100" s="83"/>
      <c r="E100" s="63"/>
      <c r="F100" s="83"/>
      <c r="G100" s="64"/>
      <c r="H100" s="85"/>
      <c r="I100" s="67"/>
      <c r="J100" s="71"/>
      <c r="K100" s="84">
        <f t="shared" si="14"/>
        <v>0</v>
      </c>
      <c r="L100" s="67">
        <f t="shared" si="15"/>
        <v>0</v>
      </c>
    </row>
    <row r="101" spans="1:12" x14ac:dyDescent="0.35">
      <c r="A101" s="37" t="s">
        <v>173</v>
      </c>
      <c r="B101" s="62" t="s">
        <v>174</v>
      </c>
      <c r="C101" s="54" t="s">
        <v>174</v>
      </c>
      <c r="D101" s="83"/>
      <c r="E101" s="63"/>
      <c r="F101" s="83"/>
      <c r="G101" s="64"/>
      <c r="H101" s="85"/>
      <c r="I101" s="67"/>
      <c r="J101" s="71"/>
      <c r="K101" s="84">
        <f t="shared" si="14"/>
        <v>0</v>
      </c>
      <c r="L101" s="67">
        <f t="shared" si="15"/>
        <v>0</v>
      </c>
    </row>
    <row r="102" spans="1:12" ht="15" collapsed="1" thickBot="1" x14ac:dyDescent="0.4">
      <c r="A102" s="37"/>
      <c r="B102" s="62" t="s">
        <v>893</v>
      </c>
      <c r="C102" s="54"/>
      <c r="D102" s="83">
        <f>SUM(D103:D121)</f>
        <v>0</v>
      </c>
      <c r="E102" s="63">
        <f t="shared" ref="E102:I102" si="16">SUM(E103:E121)</f>
        <v>2201733</v>
      </c>
      <c r="F102" s="83">
        <f t="shared" si="16"/>
        <v>4566449</v>
      </c>
      <c r="G102" s="63">
        <f t="shared" si="16"/>
        <v>5921167</v>
      </c>
      <c r="H102" s="83">
        <f>SUM(H103:H121)</f>
        <v>3529235</v>
      </c>
      <c r="I102" s="63">
        <f t="shared" si="16"/>
        <v>619528</v>
      </c>
      <c r="J102" s="71"/>
      <c r="K102" s="84">
        <f t="shared" si="14"/>
        <v>619528</v>
      </c>
      <c r="L102" s="67">
        <f t="shared" si="15"/>
        <v>16838112</v>
      </c>
    </row>
    <row r="103" spans="1:12" hidden="1" outlineLevel="1" x14ac:dyDescent="0.35">
      <c r="A103" s="37" t="s">
        <v>175</v>
      </c>
      <c r="B103" s="62" t="s">
        <v>176</v>
      </c>
      <c r="C103" s="54" t="s">
        <v>893</v>
      </c>
      <c r="D103" s="83"/>
      <c r="E103" s="63">
        <v>2000</v>
      </c>
      <c r="F103" s="83">
        <v>741</v>
      </c>
      <c r="G103" s="64"/>
      <c r="H103" s="85">
        <v>6761</v>
      </c>
      <c r="I103" s="67"/>
      <c r="J103" s="71"/>
      <c r="K103" s="84">
        <f t="shared" si="14"/>
        <v>0</v>
      </c>
      <c r="L103" s="67">
        <f t="shared" si="15"/>
        <v>9502</v>
      </c>
    </row>
    <row r="104" spans="1:12" hidden="1" outlineLevel="1" x14ac:dyDescent="0.35">
      <c r="A104" s="37" t="s">
        <v>177</v>
      </c>
      <c r="B104" s="62" t="s">
        <v>178</v>
      </c>
      <c r="C104" s="54" t="s">
        <v>893</v>
      </c>
      <c r="D104" s="83"/>
      <c r="E104" s="63"/>
      <c r="F104" s="83">
        <v>500</v>
      </c>
      <c r="G104" s="64"/>
      <c r="H104" s="85"/>
      <c r="I104" s="67"/>
      <c r="J104" s="71"/>
      <c r="K104" s="84">
        <f t="shared" si="14"/>
        <v>0</v>
      </c>
      <c r="L104" s="67">
        <f t="shared" si="15"/>
        <v>500</v>
      </c>
    </row>
    <row r="105" spans="1:12" hidden="1" outlineLevel="1" x14ac:dyDescent="0.35">
      <c r="A105" s="37" t="s">
        <v>179</v>
      </c>
      <c r="B105" s="62" t="s">
        <v>180</v>
      </c>
      <c r="C105" s="54" t="s">
        <v>893</v>
      </c>
      <c r="D105" s="83"/>
      <c r="E105" s="63"/>
      <c r="F105" s="83">
        <v>300</v>
      </c>
      <c r="G105" s="64"/>
      <c r="H105" s="85"/>
      <c r="I105" s="67"/>
      <c r="J105" s="71"/>
      <c r="K105" s="84">
        <f t="shared" si="14"/>
        <v>0</v>
      </c>
      <c r="L105" s="67">
        <f t="shared" si="15"/>
        <v>300</v>
      </c>
    </row>
    <row r="106" spans="1:12" hidden="1" outlineLevel="1" x14ac:dyDescent="0.35">
      <c r="A106" s="37" t="s">
        <v>181</v>
      </c>
      <c r="B106" s="62" t="s">
        <v>182</v>
      </c>
      <c r="C106" s="54" t="s">
        <v>893</v>
      </c>
      <c r="D106" s="83"/>
      <c r="E106" s="63"/>
      <c r="F106" s="83"/>
      <c r="G106" s="64"/>
      <c r="H106" s="85"/>
      <c r="I106" s="67"/>
      <c r="J106" s="71"/>
      <c r="K106" s="84">
        <f t="shared" si="14"/>
        <v>0</v>
      </c>
      <c r="L106" s="67">
        <f t="shared" si="15"/>
        <v>0</v>
      </c>
    </row>
    <row r="107" spans="1:12" hidden="1" outlineLevel="1" x14ac:dyDescent="0.35">
      <c r="A107" s="37" t="s">
        <v>183</v>
      </c>
      <c r="B107" s="62" t="s">
        <v>184</v>
      </c>
      <c r="C107" s="54" t="s">
        <v>893</v>
      </c>
      <c r="D107" s="83"/>
      <c r="E107" s="63"/>
      <c r="F107" s="83"/>
      <c r="G107" s="64"/>
      <c r="H107" s="85"/>
      <c r="I107" s="67"/>
      <c r="J107" s="71"/>
      <c r="K107" s="84">
        <f t="shared" si="14"/>
        <v>0</v>
      </c>
      <c r="L107" s="67">
        <f t="shared" si="15"/>
        <v>0</v>
      </c>
    </row>
    <row r="108" spans="1:12" hidden="1" outlineLevel="1" x14ac:dyDescent="0.35">
      <c r="A108" s="48" t="s">
        <v>185</v>
      </c>
      <c r="B108" s="62" t="s">
        <v>186</v>
      </c>
      <c r="C108" s="54" t="s">
        <v>893</v>
      </c>
      <c r="D108" s="83"/>
      <c r="E108" s="63"/>
      <c r="F108" s="83"/>
      <c r="G108" s="64"/>
      <c r="H108" s="85"/>
      <c r="I108" s="67"/>
      <c r="J108" s="71"/>
      <c r="K108" s="84">
        <f t="shared" si="14"/>
        <v>0</v>
      </c>
      <c r="L108" s="67">
        <f t="shared" si="15"/>
        <v>0</v>
      </c>
    </row>
    <row r="109" spans="1:12" hidden="1" outlineLevel="1" x14ac:dyDescent="0.35">
      <c r="A109" s="48" t="s">
        <v>187</v>
      </c>
      <c r="B109" s="62" t="s">
        <v>188</v>
      </c>
      <c r="C109" s="54" t="s">
        <v>893</v>
      </c>
      <c r="D109" s="83"/>
      <c r="E109" s="63"/>
      <c r="F109" s="83"/>
      <c r="G109" s="64"/>
      <c r="H109" s="85"/>
      <c r="I109" s="67"/>
      <c r="J109" s="71"/>
      <c r="K109" s="84">
        <f t="shared" si="14"/>
        <v>0</v>
      </c>
      <c r="L109" s="67">
        <f t="shared" si="15"/>
        <v>0</v>
      </c>
    </row>
    <row r="110" spans="1:12" hidden="1" outlineLevel="1" x14ac:dyDescent="0.35">
      <c r="A110" s="37" t="s">
        <v>189</v>
      </c>
      <c r="B110" s="62" t="s">
        <v>190</v>
      </c>
      <c r="C110" s="54" t="s">
        <v>893</v>
      </c>
      <c r="D110" s="83"/>
      <c r="E110" s="63"/>
      <c r="F110" s="83"/>
      <c r="G110" s="64"/>
      <c r="H110" s="85"/>
      <c r="I110" s="67"/>
      <c r="J110" s="71"/>
      <c r="K110" s="84">
        <f t="shared" si="14"/>
        <v>0</v>
      </c>
      <c r="L110" s="67">
        <f t="shared" si="15"/>
        <v>0</v>
      </c>
    </row>
    <row r="111" spans="1:12" hidden="1" outlineLevel="1" x14ac:dyDescent="0.35">
      <c r="A111" s="37" t="s">
        <v>191</v>
      </c>
      <c r="B111" s="62" t="s">
        <v>192</v>
      </c>
      <c r="C111" s="54" t="s">
        <v>893</v>
      </c>
      <c r="D111" s="83"/>
      <c r="E111" s="63">
        <v>26532</v>
      </c>
      <c r="F111" s="83">
        <v>2218144</v>
      </c>
      <c r="G111" s="64">
        <v>3146012</v>
      </c>
      <c r="H111" s="85">
        <v>1666067</v>
      </c>
      <c r="I111" s="67">
        <v>506418</v>
      </c>
      <c r="J111" s="71"/>
      <c r="K111" s="84">
        <f t="shared" si="14"/>
        <v>506418</v>
      </c>
      <c r="L111" s="67">
        <f t="shared" si="15"/>
        <v>7563173</v>
      </c>
    </row>
    <row r="112" spans="1:12" hidden="1" outlineLevel="1" x14ac:dyDescent="0.35">
      <c r="A112" s="37" t="s">
        <v>193</v>
      </c>
      <c r="B112" s="62" t="s">
        <v>194</v>
      </c>
      <c r="C112" s="54" t="s">
        <v>893</v>
      </c>
      <c r="D112" s="83"/>
      <c r="E112" s="63">
        <v>2170781</v>
      </c>
      <c r="F112" s="83">
        <v>15000</v>
      </c>
      <c r="G112" s="64">
        <v>2684851</v>
      </c>
      <c r="H112" s="85">
        <v>1582290</v>
      </c>
      <c r="I112" s="67">
        <v>100047</v>
      </c>
      <c r="J112" s="71"/>
      <c r="K112" s="84">
        <f t="shared" si="14"/>
        <v>100047</v>
      </c>
      <c r="L112" s="67">
        <f t="shared" si="15"/>
        <v>6552969</v>
      </c>
    </row>
    <row r="113" spans="1:12" hidden="1" outlineLevel="1" x14ac:dyDescent="0.35">
      <c r="A113" s="37" t="s">
        <v>195</v>
      </c>
      <c r="B113" s="62" t="s">
        <v>196</v>
      </c>
      <c r="C113" s="54" t="s">
        <v>893</v>
      </c>
      <c r="D113" s="83"/>
      <c r="E113" s="63">
        <v>1399</v>
      </c>
      <c r="F113" s="83">
        <v>2115471</v>
      </c>
      <c r="G113" s="64">
        <v>29051</v>
      </c>
      <c r="H113" s="85">
        <v>231015</v>
      </c>
      <c r="I113" s="67"/>
      <c r="J113" s="71"/>
      <c r="K113" s="84">
        <f t="shared" si="14"/>
        <v>0</v>
      </c>
      <c r="L113" s="67">
        <f t="shared" si="15"/>
        <v>2376936</v>
      </c>
    </row>
    <row r="114" spans="1:12" hidden="1" outlineLevel="1" x14ac:dyDescent="0.35">
      <c r="A114" s="37" t="s">
        <v>197</v>
      </c>
      <c r="B114" s="62" t="s">
        <v>198</v>
      </c>
      <c r="C114" s="54" t="s">
        <v>893</v>
      </c>
      <c r="D114" s="83"/>
      <c r="E114" s="63">
        <v>1021</v>
      </c>
      <c r="F114" s="83">
        <v>5210</v>
      </c>
      <c r="G114" s="64">
        <v>9410</v>
      </c>
      <c r="H114" s="85"/>
      <c r="I114" s="67"/>
      <c r="J114" s="71"/>
      <c r="K114" s="84">
        <f t="shared" si="14"/>
        <v>0</v>
      </c>
      <c r="L114" s="67">
        <f t="shared" si="15"/>
        <v>15641</v>
      </c>
    </row>
    <row r="115" spans="1:12" hidden="1" outlineLevel="1" x14ac:dyDescent="0.35">
      <c r="A115" s="37" t="s">
        <v>199</v>
      </c>
      <c r="B115" s="62" t="s">
        <v>200</v>
      </c>
      <c r="C115" s="54" t="s">
        <v>893</v>
      </c>
      <c r="D115" s="83"/>
      <c r="E115" s="63"/>
      <c r="F115" s="83">
        <v>9658</v>
      </c>
      <c r="G115" s="64">
        <v>11646</v>
      </c>
      <c r="H115" s="85"/>
      <c r="I115" s="67"/>
      <c r="J115" s="71"/>
      <c r="K115" s="84">
        <f t="shared" si="14"/>
        <v>0</v>
      </c>
      <c r="L115" s="67">
        <f t="shared" si="15"/>
        <v>21304</v>
      </c>
    </row>
    <row r="116" spans="1:12" hidden="1" outlineLevel="1" x14ac:dyDescent="0.35">
      <c r="A116" s="37" t="s">
        <v>201</v>
      </c>
      <c r="B116" s="62" t="s">
        <v>202</v>
      </c>
      <c r="C116" s="54" t="s">
        <v>893</v>
      </c>
      <c r="D116" s="83"/>
      <c r="E116" s="63"/>
      <c r="F116" s="83">
        <v>1372</v>
      </c>
      <c r="G116" s="64">
        <v>40197</v>
      </c>
      <c r="H116" s="85"/>
      <c r="I116" s="67"/>
      <c r="J116" s="71"/>
      <c r="K116" s="84">
        <f t="shared" si="14"/>
        <v>0</v>
      </c>
      <c r="L116" s="67">
        <f t="shared" si="15"/>
        <v>41569</v>
      </c>
    </row>
    <row r="117" spans="1:12" hidden="1" outlineLevel="1" x14ac:dyDescent="0.35">
      <c r="A117" s="37" t="s">
        <v>203</v>
      </c>
      <c r="B117" s="62" t="s">
        <v>204</v>
      </c>
      <c r="C117" s="54" t="s">
        <v>893</v>
      </c>
      <c r="D117" s="83"/>
      <c r="E117" s="63"/>
      <c r="F117" s="83"/>
      <c r="G117" s="64"/>
      <c r="H117" s="85"/>
      <c r="I117" s="67"/>
      <c r="J117" s="71"/>
      <c r="K117" s="84">
        <f t="shared" si="14"/>
        <v>0</v>
      </c>
      <c r="L117" s="67">
        <f t="shared" si="15"/>
        <v>0</v>
      </c>
    </row>
    <row r="118" spans="1:12" hidden="1" outlineLevel="1" x14ac:dyDescent="0.35">
      <c r="A118" s="37" t="s">
        <v>205</v>
      </c>
      <c r="B118" s="62" t="s">
        <v>206</v>
      </c>
      <c r="C118" s="54" t="s">
        <v>893</v>
      </c>
      <c r="D118" s="83"/>
      <c r="E118" s="63"/>
      <c r="F118" s="83"/>
      <c r="G118" s="64"/>
      <c r="H118" s="85"/>
      <c r="I118" s="67"/>
      <c r="J118" s="71"/>
      <c r="K118" s="84">
        <f t="shared" si="14"/>
        <v>0</v>
      </c>
      <c r="L118" s="67">
        <f t="shared" si="15"/>
        <v>0</v>
      </c>
    </row>
    <row r="119" spans="1:12" hidden="1" outlineLevel="1" x14ac:dyDescent="0.35">
      <c r="A119" s="37" t="s">
        <v>207</v>
      </c>
      <c r="B119" s="62" t="s">
        <v>208</v>
      </c>
      <c r="C119" s="54" t="s">
        <v>893</v>
      </c>
      <c r="D119" s="83"/>
      <c r="E119" s="63"/>
      <c r="F119" s="83"/>
      <c r="G119" s="64"/>
      <c r="H119" s="85"/>
      <c r="I119" s="67"/>
      <c r="J119" s="71"/>
      <c r="K119" s="84">
        <f t="shared" si="14"/>
        <v>0</v>
      </c>
      <c r="L119" s="67">
        <f t="shared" si="15"/>
        <v>0</v>
      </c>
    </row>
    <row r="120" spans="1:12" hidden="1" outlineLevel="1" x14ac:dyDescent="0.35">
      <c r="A120" s="37" t="s">
        <v>209</v>
      </c>
      <c r="B120" s="62" t="s">
        <v>210</v>
      </c>
      <c r="C120" s="54" t="s">
        <v>893</v>
      </c>
      <c r="D120" s="83"/>
      <c r="E120" s="63"/>
      <c r="F120" s="83">
        <v>200053</v>
      </c>
      <c r="G120" s="64"/>
      <c r="H120" s="85">
        <v>43102</v>
      </c>
      <c r="I120" s="67">
        <v>13063</v>
      </c>
      <c r="J120" s="71"/>
      <c r="K120" s="84">
        <f t="shared" si="14"/>
        <v>13063</v>
      </c>
      <c r="L120" s="67">
        <f t="shared" si="15"/>
        <v>256218</v>
      </c>
    </row>
    <row r="121" spans="1:12" ht="15" hidden="1" outlineLevel="1" thickBot="1" x14ac:dyDescent="0.4">
      <c r="A121" s="37" t="s">
        <v>211</v>
      </c>
      <c r="B121" s="62" t="s">
        <v>212</v>
      </c>
      <c r="C121" s="54" t="s">
        <v>893</v>
      </c>
      <c r="D121" s="83"/>
      <c r="E121" s="63"/>
      <c r="F121" s="83"/>
      <c r="G121" s="64"/>
      <c r="H121" s="85"/>
      <c r="I121" s="67"/>
      <c r="J121" s="71"/>
      <c r="K121" s="84">
        <f t="shared" si="14"/>
        <v>0</v>
      </c>
      <c r="L121" s="67">
        <f t="shared" si="15"/>
        <v>0</v>
      </c>
    </row>
    <row r="122" spans="1:12" ht="15" collapsed="1" thickBot="1" x14ac:dyDescent="0.4">
      <c r="A122" s="49"/>
      <c r="B122" s="112" t="s">
        <v>1284</v>
      </c>
      <c r="C122" s="50"/>
      <c r="D122" s="86">
        <f t="shared" ref="D122" si="17">SUM(D4:D102)</f>
        <v>0</v>
      </c>
      <c r="E122" s="51">
        <f>E14+E42+E59+E102</f>
        <v>6515483</v>
      </c>
      <c r="F122" s="86">
        <f>F14+F32+F52+F59+F65+F102</f>
        <v>5727363</v>
      </c>
      <c r="G122" s="86">
        <f t="shared" ref="G122:I122" si="18">G14+G32+G52+G59+G65+G102</f>
        <v>8714564</v>
      </c>
      <c r="H122" s="86">
        <f t="shared" si="18"/>
        <v>4897101</v>
      </c>
      <c r="I122" s="86">
        <f t="shared" si="18"/>
        <v>1029741</v>
      </c>
      <c r="J122" s="86"/>
      <c r="K122" s="142">
        <f t="shared" si="14"/>
        <v>1029741</v>
      </c>
      <c r="L122" s="113">
        <f t="shared" si="15"/>
        <v>26884252</v>
      </c>
    </row>
    <row r="123" spans="1:12" x14ac:dyDescent="0.35">
      <c r="A123" s="52"/>
      <c r="B123" s="72"/>
      <c r="C123" s="53"/>
      <c r="D123" s="87"/>
      <c r="E123" s="73"/>
      <c r="F123" s="87"/>
      <c r="G123" s="73"/>
      <c r="H123" s="87"/>
      <c r="I123" s="67"/>
      <c r="J123" s="71"/>
      <c r="K123" s="84">
        <f t="shared" si="14"/>
        <v>0</v>
      </c>
      <c r="L123" s="67">
        <f t="shared" si="15"/>
        <v>0</v>
      </c>
    </row>
    <row r="124" spans="1:12" x14ac:dyDescent="0.35">
      <c r="A124" s="37" t="s">
        <v>213</v>
      </c>
      <c r="B124" s="62" t="s">
        <v>0</v>
      </c>
      <c r="C124" s="54" t="s">
        <v>894</v>
      </c>
      <c r="D124" s="83"/>
      <c r="E124" s="63">
        <v>6157748</v>
      </c>
      <c r="F124" s="83"/>
      <c r="G124" s="64">
        <v>2523469</v>
      </c>
      <c r="H124" s="85"/>
      <c r="I124" s="67"/>
      <c r="J124" s="71"/>
      <c r="K124" s="84">
        <f t="shared" si="14"/>
        <v>0</v>
      </c>
      <c r="L124" s="67">
        <f t="shared" si="15"/>
        <v>8681217</v>
      </c>
    </row>
    <row r="125" spans="1:12" x14ac:dyDescent="0.35">
      <c r="A125" s="37" t="s">
        <v>214</v>
      </c>
      <c r="B125" s="62" t="s">
        <v>215</v>
      </c>
      <c r="C125" s="54" t="s">
        <v>215</v>
      </c>
      <c r="D125" s="83"/>
      <c r="E125" s="63"/>
      <c r="F125" s="83"/>
      <c r="G125" s="64"/>
      <c r="H125" s="85"/>
      <c r="I125" s="67"/>
      <c r="J125" s="71"/>
      <c r="K125" s="84">
        <f t="shared" si="14"/>
        <v>0</v>
      </c>
      <c r="L125" s="67">
        <f t="shared" si="15"/>
        <v>0</v>
      </c>
    </row>
    <row r="126" spans="1:12" x14ac:dyDescent="0.35">
      <c r="A126" s="37" t="s">
        <v>216</v>
      </c>
      <c r="B126" s="62" t="s">
        <v>217</v>
      </c>
      <c r="C126" s="54" t="s">
        <v>217</v>
      </c>
      <c r="D126" s="83"/>
      <c r="E126" s="63"/>
      <c r="F126" s="83"/>
      <c r="G126" s="64"/>
      <c r="H126" s="85"/>
      <c r="I126" s="67"/>
      <c r="J126" s="71"/>
      <c r="K126" s="84">
        <f t="shared" si="14"/>
        <v>0</v>
      </c>
      <c r="L126" s="67">
        <f t="shared" si="15"/>
        <v>0</v>
      </c>
    </row>
    <row r="127" spans="1:12" collapsed="1" x14ac:dyDescent="0.35">
      <c r="A127" s="37"/>
      <c r="B127" s="62" t="s">
        <v>896</v>
      </c>
      <c r="C127" s="54"/>
      <c r="D127" s="83">
        <f>SUM(D128:D129)</f>
        <v>0</v>
      </c>
      <c r="E127" s="63">
        <f t="shared" ref="E127:I127" si="19">SUM(E128:E129)</f>
        <v>0</v>
      </c>
      <c r="F127" s="83">
        <f t="shared" si="19"/>
        <v>3849085</v>
      </c>
      <c r="G127" s="63">
        <f t="shared" si="19"/>
        <v>5013433</v>
      </c>
      <c r="H127" s="83">
        <f t="shared" si="19"/>
        <v>3836105</v>
      </c>
      <c r="I127" s="63">
        <f t="shared" si="19"/>
        <v>922419</v>
      </c>
      <c r="J127" s="71"/>
      <c r="K127" s="84">
        <f t="shared" si="14"/>
        <v>922419</v>
      </c>
      <c r="L127" s="67">
        <f t="shared" si="15"/>
        <v>13621042</v>
      </c>
    </row>
    <row r="128" spans="1:12" hidden="1" outlineLevel="1" x14ac:dyDescent="0.35">
      <c r="A128" s="37" t="s">
        <v>218</v>
      </c>
      <c r="B128" s="69" t="s">
        <v>895</v>
      </c>
      <c r="C128" s="54" t="s">
        <v>896</v>
      </c>
      <c r="D128" s="83"/>
      <c r="E128" s="63"/>
      <c r="F128" s="83">
        <v>3849085</v>
      </c>
      <c r="G128" s="64">
        <v>3715786</v>
      </c>
      <c r="H128" s="85">
        <v>3836105</v>
      </c>
      <c r="I128" s="67">
        <v>922419</v>
      </c>
      <c r="J128" s="71"/>
      <c r="K128" s="84">
        <f t="shared" si="14"/>
        <v>922419</v>
      </c>
      <c r="L128" s="67">
        <f t="shared" si="15"/>
        <v>12323395</v>
      </c>
    </row>
    <row r="129" spans="1:12" hidden="1" outlineLevel="1" x14ac:dyDescent="0.35">
      <c r="A129" s="37" t="s">
        <v>219</v>
      </c>
      <c r="B129" s="62" t="s">
        <v>220</v>
      </c>
      <c r="C129" s="54" t="s">
        <v>896</v>
      </c>
      <c r="D129" s="83"/>
      <c r="E129" s="63"/>
      <c r="F129" s="83"/>
      <c r="G129" s="64">
        <v>1297647</v>
      </c>
      <c r="H129" s="85"/>
      <c r="I129" s="67"/>
      <c r="J129" s="71"/>
      <c r="K129" s="84">
        <f t="shared" si="14"/>
        <v>0</v>
      </c>
      <c r="L129" s="67">
        <f t="shared" si="15"/>
        <v>1297647</v>
      </c>
    </row>
    <row r="130" spans="1:12" x14ac:dyDescent="0.35">
      <c r="A130" s="37" t="s">
        <v>221</v>
      </c>
      <c r="B130" s="62" t="s">
        <v>222</v>
      </c>
      <c r="C130" s="54" t="s">
        <v>222</v>
      </c>
      <c r="D130" s="83"/>
      <c r="E130" s="63"/>
      <c r="F130" s="83"/>
      <c r="G130" s="64"/>
      <c r="H130" s="85"/>
      <c r="I130" s="67"/>
      <c r="J130" s="71"/>
      <c r="K130" s="84">
        <f t="shared" si="14"/>
        <v>0</v>
      </c>
      <c r="L130" s="67">
        <f t="shared" si="15"/>
        <v>0</v>
      </c>
    </row>
    <row r="131" spans="1:12" x14ac:dyDescent="0.35">
      <c r="A131" s="37" t="s">
        <v>223</v>
      </c>
      <c r="B131" s="62" t="s">
        <v>224</v>
      </c>
      <c r="C131" s="54" t="s">
        <v>224</v>
      </c>
      <c r="D131" s="83"/>
      <c r="E131" s="63"/>
      <c r="F131" s="83"/>
      <c r="G131" s="64"/>
      <c r="H131" s="85"/>
      <c r="I131" s="67"/>
      <c r="J131" s="71"/>
      <c r="K131" s="84">
        <f t="shared" si="14"/>
        <v>0</v>
      </c>
      <c r="L131" s="67">
        <f t="shared" si="15"/>
        <v>0</v>
      </c>
    </row>
    <row r="132" spans="1:12" x14ac:dyDescent="0.35">
      <c r="A132" s="37" t="s">
        <v>225</v>
      </c>
      <c r="B132" s="62" t="s">
        <v>226</v>
      </c>
      <c r="C132" s="54" t="s">
        <v>226</v>
      </c>
      <c r="D132" s="83"/>
      <c r="E132" s="63"/>
      <c r="F132" s="83"/>
      <c r="G132" s="64"/>
      <c r="H132" s="85"/>
      <c r="I132" s="67"/>
      <c r="J132" s="71"/>
      <c r="K132" s="84">
        <f t="shared" si="14"/>
        <v>0</v>
      </c>
      <c r="L132" s="67">
        <f t="shared" si="15"/>
        <v>0</v>
      </c>
    </row>
    <row r="133" spans="1:12" collapsed="1" x14ac:dyDescent="0.35">
      <c r="A133" s="37"/>
      <c r="B133" s="62" t="s">
        <v>897</v>
      </c>
      <c r="C133" s="54"/>
      <c r="D133" s="83">
        <f>SUM(D134:D135)</f>
        <v>0</v>
      </c>
      <c r="E133" s="63">
        <f t="shared" ref="E133:I133" si="20">SUM(E134:E135)</f>
        <v>0</v>
      </c>
      <c r="F133" s="83">
        <f t="shared" si="20"/>
        <v>0</v>
      </c>
      <c r="G133" s="63">
        <f t="shared" si="20"/>
        <v>0</v>
      </c>
      <c r="H133" s="83">
        <f t="shared" si="20"/>
        <v>0</v>
      </c>
      <c r="I133" s="63">
        <f t="shared" si="20"/>
        <v>0</v>
      </c>
      <c r="J133" s="71"/>
      <c r="K133" s="84">
        <f t="shared" si="14"/>
        <v>0</v>
      </c>
      <c r="L133" s="67">
        <f t="shared" si="15"/>
        <v>0</v>
      </c>
    </row>
    <row r="134" spans="1:12" hidden="1" outlineLevel="1" x14ac:dyDescent="0.35">
      <c r="A134" s="37" t="s">
        <v>227</v>
      </c>
      <c r="B134" s="62" t="s">
        <v>228</v>
      </c>
      <c r="C134" s="54" t="s">
        <v>897</v>
      </c>
      <c r="D134" s="83"/>
      <c r="E134" s="63"/>
      <c r="F134" s="83"/>
      <c r="G134" s="64"/>
      <c r="H134" s="85"/>
      <c r="I134" s="67"/>
      <c r="J134" s="71"/>
      <c r="K134" s="84">
        <f t="shared" si="14"/>
        <v>0</v>
      </c>
      <c r="L134" s="67">
        <f t="shared" si="15"/>
        <v>0</v>
      </c>
    </row>
    <row r="135" spans="1:12" hidden="1" outlineLevel="1" x14ac:dyDescent="0.35">
      <c r="A135" s="37" t="s">
        <v>229</v>
      </c>
      <c r="B135" s="62" t="s">
        <v>230</v>
      </c>
      <c r="C135" s="54" t="s">
        <v>897</v>
      </c>
      <c r="D135" s="83"/>
      <c r="E135" s="63"/>
      <c r="F135" s="83"/>
      <c r="G135" s="64"/>
      <c r="H135" s="85"/>
      <c r="I135" s="67"/>
      <c r="J135" s="71"/>
      <c r="K135" s="84">
        <f t="shared" si="14"/>
        <v>0</v>
      </c>
      <c r="L135" s="67">
        <f t="shared" si="15"/>
        <v>0</v>
      </c>
    </row>
    <row r="136" spans="1:12" collapsed="1" x14ac:dyDescent="0.35">
      <c r="A136" s="37"/>
      <c r="B136" s="62" t="s">
        <v>898</v>
      </c>
      <c r="C136" s="54"/>
      <c r="D136" s="83">
        <f>SUM(D137:D142)</f>
        <v>0</v>
      </c>
      <c r="E136" s="63">
        <f t="shared" ref="E136:I136" si="21">SUM(E137:E142)</f>
        <v>0</v>
      </c>
      <c r="F136" s="83">
        <f t="shared" si="21"/>
        <v>0</v>
      </c>
      <c r="G136" s="63">
        <f t="shared" si="21"/>
        <v>0</v>
      </c>
      <c r="H136" s="83">
        <f>SUM(H137:H142)</f>
        <v>0</v>
      </c>
      <c r="I136" s="63">
        <f t="shared" si="21"/>
        <v>0</v>
      </c>
      <c r="J136" s="71"/>
      <c r="K136" s="84">
        <f t="shared" si="14"/>
        <v>0</v>
      </c>
      <c r="L136" s="67">
        <f t="shared" si="15"/>
        <v>0</v>
      </c>
    </row>
    <row r="137" spans="1:12" hidden="1" outlineLevel="1" x14ac:dyDescent="0.35">
      <c r="A137" s="37" t="s">
        <v>231</v>
      </c>
      <c r="B137" s="62" t="s">
        <v>232</v>
      </c>
      <c r="C137" s="54" t="s">
        <v>898</v>
      </c>
      <c r="D137" s="83"/>
      <c r="E137" s="63"/>
      <c r="F137" s="83"/>
      <c r="G137" s="64"/>
      <c r="H137" s="85"/>
      <c r="I137" s="67"/>
      <c r="J137" s="71"/>
      <c r="K137" s="84">
        <f t="shared" ref="K137:K200" si="22">J137+I137</f>
        <v>0</v>
      </c>
      <c r="L137" s="67">
        <f t="shared" ref="L137:L200" si="23">K137+D137+E137+F137+G137+H137</f>
        <v>0</v>
      </c>
    </row>
    <row r="138" spans="1:12" hidden="1" outlineLevel="1" x14ac:dyDescent="0.35">
      <c r="A138" s="37" t="s">
        <v>233</v>
      </c>
      <c r="B138" s="62" t="s">
        <v>234</v>
      </c>
      <c r="C138" s="54" t="s">
        <v>898</v>
      </c>
      <c r="D138" s="83"/>
      <c r="E138" s="63"/>
      <c r="F138" s="83"/>
      <c r="G138" s="64"/>
      <c r="H138" s="85"/>
      <c r="I138" s="67"/>
      <c r="J138" s="71"/>
      <c r="K138" s="84">
        <f t="shared" si="22"/>
        <v>0</v>
      </c>
      <c r="L138" s="67">
        <f t="shared" si="23"/>
        <v>0</v>
      </c>
    </row>
    <row r="139" spans="1:12" hidden="1" outlineLevel="1" x14ac:dyDescent="0.35">
      <c r="A139" s="37" t="s">
        <v>235</v>
      </c>
      <c r="B139" s="62" t="s">
        <v>236</v>
      </c>
      <c r="C139" s="54" t="s">
        <v>898</v>
      </c>
      <c r="D139" s="83"/>
      <c r="E139" s="63"/>
      <c r="F139" s="83"/>
      <c r="G139" s="64"/>
      <c r="H139" s="85"/>
      <c r="I139" s="67"/>
      <c r="J139" s="71"/>
      <c r="K139" s="84">
        <f t="shared" si="22"/>
        <v>0</v>
      </c>
      <c r="L139" s="67">
        <f t="shared" si="23"/>
        <v>0</v>
      </c>
    </row>
    <row r="140" spans="1:12" hidden="1" outlineLevel="1" x14ac:dyDescent="0.35">
      <c r="A140" s="37" t="s">
        <v>237</v>
      </c>
      <c r="B140" s="62" t="s">
        <v>238</v>
      </c>
      <c r="C140" s="54" t="s">
        <v>898</v>
      </c>
      <c r="D140" s="83"/>
      <c r="E140" s="63"/>
      <c r="F140" s="83"/>
      <c r="G140" s="64"/>
      <c r="H140" s="85"/>
      <c r="I140" s="67"/>
      <c r="J140" s="71"/>
      <c r="K140" s="84">
        <f t="shared" si="22"/>
        <v>0</v>
      </c>
      <c r="L140" s="67">
        <f t="shared" si="23"/>
        <v>0</v>
      </c>
    </row>
    <row r="141" spans="1:12" hidden="1" outlineLevel="1" x14ac:dyDescent="0.35">
      <c r="A141" s="37" t="s">
        <v>239</v>
      </c>
      <c r="B141" s="62" t="s">
        <v>240</v>
      </c>
      <c r="C141" s="54" t="s">
        <v>898</v>
      </c>
      <c r="D141" s="83"/>
      <c r="E141" s="63"/>
      <c r="F141" s="83"/>
      <c r="G141" s="64"/>
      <c r="H141" s="85"/>
      <c r="I141" s="67"/>
      <c r="J141" s="71"/>
      <c r="K141" s="84">
        <f t="shared" si="22"/>
        <v>0</v>
      </c>
      <c r="L141" s="67">
        <f t="shared" si="23"/>
        <v>0</v>
      </c>
    </row>
    <row r="142" spans="1:12" hidden="1" outlineLevel="1" x14ac:dyDescent="0.35">
      <c r="A142" s="37" t="s">
        <v>241</v>
      </c>
      <c r="B142" s="62" t="s">
        <v>242</v>
      </c>
      <c r="C142" s="54" t="s">
        <v>898</v>
      </c>
      <c r="D142" s="83"/>
      <c r="E142" s="63"/>
      <c r="F142" s="83"/>
      <c r="G142" s="64"/>
      <c r="H142" s="85"/>
      <c r="I142" s="67"/>
      <c r="J142" s="71"/>
      <c r="K142" s="84">
        <f t="shared" si="22"/>
        <v>0</v>
      </c>
      <c r="L142" s="67">
        <f t="shared" si="23"/>
        <v>0</v>
      </c>
    </row>
    <row r="143" spans="1:12" collapsed="1" x14ac:dyDescent="0.35">
      <c r="A143" s="37"/>
      <c r="B143" s="62" t="s">
        <v>897</v>
      </c>
      <c r="C143" s="54"/>
      <c r="D143" s="83">
        <f>SUM(D144:D145)</f>
        <v>0</v>
      </c>
      <c r="E143" s="63">
        <f t="shared" ref="E143:I143" si="24">SUM(E144:E145)</f>
        <v>0</v>
      </c>
      <c r="F143" s="83">
        <f t="shared" si="24"/>
        <v>0</v>
      </c>
      <c r="G143" s="63">
        <f t="shared" si="24"/>
        <v>0</v>
      </c>
      <c r="H143" s="83">
        <f>SUM(H144:H145)</f>
        <v>0</v>
      </c>
      <c r="I143" s="63">
        <f t="shared" si="24"/>
        <v>0</v>
      </c>
      <c r="J143" s="71"/>
      <c r="K143" s="84">
        <f t="shared" si="22"/>
        <v>0</v>
      </c>
      <c r="L143" s="67">
        <f t="shared" si="23"/>
        <v>0</v>
      </c>
    </row>
    <row r="144" spans="1:12" hidden="1" outlineLevel="1" x14ac:dyDescent="0.35">
      <c r="A144" s="37" t="s">
        <v>243</v>
      </c>
      <c r="B144" s="62" t="s">
        <v>244</v>
      </c>
      <c r="C144" s="54" t="s">
        <v>897</v>
      </c>
      <c r="D144" s="83"/>
      <c r="E144" s="63"/>
      <c r="F144" s="83"/>
      <c r="G144" s="64"/>
      <c r="H144" s="85"/>
      <c r="I144" s="67"/>
      <c r="J144" s="71"/>
      <c r="K144" s="84">
        <f t="shared" si="22"/>
        <v>0</v>
      </c>
      <c r="L144" s="67">
        <f t="shared" si="23"/>
        <v>0</v>
      </c>
    </row>
    <row r="145" spans="1:12" hidden="1" outlineLevel="1" x14ac:dyDescent="0.35">
      <c r="A145" s="37" t="s">
        <v>245</v>
      </c>
      <c r="B145" s="62" t="s">
        <v>246</v>
      </c>
      <c r="C145" s="54" t="s">
        <v>897</v>
      </c>
      <c r="D145" s="83"/>
      <c r="E145" s="63"/>
      <c r="F145" s="83"/>
      <c r="G145" s="64"/>
      <c r="H145" s="85"/>
      <c r="I145" s="67"/>
      <c r="J145" s="71"/>
      <c r="K145" s="84">
        <f t="shared" si="22"/>
        <v>0</v>
      </c>
      <c r="L145" s="67">
        <f t="shared" si="23"/>
        <v>0</v>
      </c>
    </row>
    <row r="146" spans="1:12" collapsed="1" x14ac:dyDescent="0.35">
      <c r="A146" s="37" t="s">
        <v>247</v>
      </c>
      <c r="B146" s="62" t="s">
        <v>248</v>
      </c>
      <c r="C146" s="54" t="s">
        <v>248</v>
      </c>
      <c r="D146" s="83"/>
      <c r="E146" s="63">
        <v>7735</v>
      </c>
      <c r="F146" s="83">
        <v>177110</v>
      </c>
      <c r="G146" s="64">
        <v>315482</v>
      </c>
      <c r="H146" s="85">
        <v>126928</v>
      </c>
      <c r="I146" s="67">
        <v>23688</v>
      </c>
      <c r="J146" s="71"/>
      <c r="K146" s="84">
        <f t="shared" si="22"/>
        <v>23688</v>
      </c>
      <c r="L146" s="67">
        <f t="shared" si="23"/>
        <v>650943</v>
      </c>
    </row>
    <row r="147" spans="1:12" collapsed="1" x14ac:dyDescent="0.35">
      <c r="A147" s="37"/>
      <c r="B147" s="62" t="s">
        <v>868</v>
      </c>
      <c r="C147" s="54"/>
      <c r="D147" s="83">
        <f>SUM(D148:D150)</f>
        <v>0</v>
      </c>
      <c r="E147" s="63">
        <f t="shared" ref="E147:I147" si="25">SUM(E148:E150)</f>
        <v>0</v>
      </c>
      <c r="F147" s="83">
        <f t="shared" si="25"/>
        <v>0</v>
      </c>
      <c r="G147" s="63">
        <f t="shared" si="25"/>
        <v>0</v>
      </c>
      <c r="H147" s="83">
        <f>SUM(H148:H150)</f>
        <v>0</v>
      </c>
      <c r="I147" s="63">
        <f t="shared" si="25"/>
        <v>0</v>
      </c>
      <c r="J147" s="71"/>
      <c r="K147" s="84">
        <f t="shared" si="22"/>
        <v>0</v>
      </c>
      <c r="L147" s="67">
        <f t="shared" si="23"/>
        <v>0</v>
      </c>
    </row>
    <row r="148" spans="1:12" hidden="1" outlineLevel="1" x14ac:dyDescent="0.35">
      <c r="A148" s="37" t="s">
        <v>249</v>
      </c>
      <c r="B148" s="62" t="s">
        <v>250</v>
      </c>
      <c r="C148" s="54" t="s">
        <v>868</v>
      </c>
      <c r="D148" s="83"/>
      <c r="E148" s="63"/>
      <c r="F148" s="83"/>
      <c r="G148" s="64"/>
      <c r="H148" s="83"/>
      <c r="I148" s="67"/>
      <c r="J148" s="71"/>
      <c r="K148" s="84">
        <f t="shared" si="22"/>
        <v>0</v>
      </c>
      <c r="L148" s="67">
        <f t="shared" si="23"/>
        <v>0</v>
      </c>
    </row>
    <row r="149" spans="1:12" hidden="1" outlineLevel="1" x14ac:dyDescent="0.35">
      <c r="A149" s="37" t="s">
        <v>251</v>
      </c>
      <c r="B149" s="62" t="s">
        <v>252</v>
      </c>
      <c r="C149" s="54" t="s">
        <v>868</v>
      </c>
      <c r="D149" s="83"/>
      <c r="E149" s="63"/>
      <c r="F149" s="83"/>
      <c r="G149" s="64"/>
      <c r="H149" s="83"/>
      <c r="I149" s="67"/>
      <c r="J149" s="71"/>
      <c r="K149" s="84">
        <f t="shared" si="22"/>
        <v>0</v>
      </c>
      <c r="L149" s="67">
        <f t="shared" si="23"/>
        <v>0</v>
      </c>
    </row>
    <row r="150" spans="1:12" hidden="1" outlineLevel="1" x14ac:dyDescent="0.35">
      <c r="A150" s="37" t="s">
        <v>253</v>
      </c>
      <c r="B150" s="62" t="s">
        <v>254</v>
      </c>
      <c r="C150" s="54" t="s">
        <v>868</v>
      </c>
      <c r="D150" s="83"/>
      <c r="E150" s="63"/>
      <c r="F150" s="83"/>
      <c r="G150" s="64"/>
      <c r="H150" s="83"/>
      <c r="I150" s="67"/>
      <c r="J150" s="71"/>
      <c r="K150" s="84">
        <f t="shared" si="22"/>
        <v>0</v>
      </c>
      <c r="L150" s="67">
        <f t="shared" si="23"/>
        <v>0</v>
      </c>
    </row>
    <row r="151" spans="1:12" collapsed="1" x14ac:dyDescent="0.35">
      <c r="A151" s="37"/>
      <c r="B151" s="62" t="s">
        <v>899</v>
      </c>
      <c r="C151" s="54"/>
      <c r="D151" s="83">
        <f>SUM(D152:D171)</f>
        <v>0</v>
      </c>
      <c r="E151" s="63">
        <f t="shared" ref="E151:I151" si="26">SUM(E152:E171)</f>
        <v>0</v>
      </c>
      <c r="F151" s="83">
        <f t="shared" si="26"/>
        <v>50708</v>
      </c>
      <c r="G151" s="63">
        <f t="shared" si="26"/>
        <v>37399</v>
      </c>
      <c r="H151" s="83">
        <f>SUM(H152:H171)</f>
        <v>84836</v>
      </c>
      <c r="I151" s="63">
        <f t="shared" si="26"/>
        <v>33736</v>
      </c>
      <c r="J151" s="71"/>
      <c r="K151" s="84">
        <f t="shared" si="22"/>
        <v>33736</v>
      </c>
      <c r="L151" s="67">
        <f t="shared" si="23"/>
        <v>206679</v>
      </c>
    </row>
    <row r="152" spans="1:12" hidden="1" outlineLevel="1" x14ac:dyDescent="0.35">
      <c r="A152" s="37" t="s">
        <v>255</v>
      </c>
      <c r="B152" s="62" t="s">
        <v>256</v>
      </c>
      <c r="C152" s="54" t="s">
        <v>899</v>
      </c>
      <c r="D152" s="83"/>
      <c r="E152" s="63"/>
      <c r="F152" s="83">
        <v>59059</v>
      </c>
      <c r="G152" s="64">
        <v>23542</v>
      </c>
      <c r="H152" s="83">
        <v>40666</v>
      </c>
      <c r="I152" s="67">
        <v>13063</v>
      </c>
      <c r="J152" s="71"/>
      <c r="K152" s="84">
        <f t="shared" si="22"/>
        <v>13063</v>
      </c>
      <c r="L152" s="67">
        <f t="shared" si="23"/>
        <v>136330</v>
      </c>
    </row>
    <row r="153" spans="1:12" hidden="1" outlineLevel="1" x14ac:dyDescent="0.35">
      <c r="A153" s="37" t="s">
        <v>257</v>
      </c>
      <c r="B153" s="62" t="s">
        <v>900</v>
      </c>
      <c r="C153" s="54" t="s">
        <v>899</v>
      </c>
      <c r="D153" s="83"/>
      <c r="E153" s="63"/>
      <c r="F153" s="83"/>
      <c r="G153" s="64">
        <v>16655</v>
      </c>
      <c r="H153" s="83"/>
      <c r="J153" s="71"/>
      <c r="K153" s="84">
        <f>J153+I154</f>
        <v>0</v>
      </c>
      <c r="L153" s="67">
        <f t="shared" si="23"/>
        <v>16655</v>
      </c>
    </row>
    <row r="154" spans="1:12" hidden="1" outlineLevel="1" x14ac:dyDescent="0.35">
      <c r="A154" s="37" t="s">
        <v>259</v>
      </c>
      <c r="B154" s="62" t="s">
        <v>260</v>
      </c>
      <c r="C154" s="54" t="s">
        <v>899</v>
      </c>
      <c r="D154" s="83"/>
      <c r="E154" s="63"/>
      <c r="F154" s="83"/>
      <c r="G154" s="64"/>
      <c r="H154" s="83"/>
      <c r="I154" s="67"/>
      <c r="J154" s="71"/>
      <c r="K154" s="84" t="e">
        <f>J154+#REF!</f>
        <v>#REF!</v>
      </c>
      <c r="L154" s="67" t="e">
        <f t="shared" si="23"/>
        <v>#REF!</v>
      </c>
    </row>
    <row r="155" spans="1:12" hidden="1" outlineLevel="1" x14ac:dyDescent="0.35">
      <c r="A155" s="37" t="s">
        <v>261</v>
      </c>
      <c r="B155" s="62" t="s">
        <v>262</v>
      </c>
      <c r="C155" s="54" t="s">
        <v>899</v>
      </c>
      <c r="D155" s="83"/>
      <c r="E155" s="63"/>
      <c r="F155" s="83"/>
      <c r="G155" s="64"/>
      <c r="H155" s="83"/>
      <c r="I155" s="67"/>
      <c r="J155" s="71"/>
      <c r="K155" s="84">
        <f t="shared" si="22"/>
        <v>0</v>
      </c>
      <c r="L155" s="67">
        <f t="shared" si="23"/>
        <v>0</v>
      </c>
    </row>
    <row r="156" spans="1:12" hidden="1" outlineLevel="1" x14ac:dyDescent="0.35">
      <c r="A156" s="37" t="s">
        <v>263</v>
      </c>
      <c r="B156" s="62" t="s">
        <v>264</v>
      </c>
      <c r="C156" s="54" t="s">
        <v>899</v>
      </c>
      <c r="D156" s="83"/>
      <c r="E156" s="63"/>
      <c r="F156" s="83"/>
      <c r="G156" s="64"/>
      <c r="H156" s="83"/>
      <c r="I156" s="67"/>
      <c r="J156" s="71"/>
      <c r="K156" s="84">
        <f t="shared" si="22"/>
        <v>0</v>
      </c>
      <c r="L156" s="67">
        <f t="shared" si="23"/>
        <v>0</v>
      </c>
    </row>
    <row r="157" spans="1:12" hidden="1" outlineLevel="1" x14ac:dyDescent="0.35">
      <c r="A157" s="37" t="s">
        <v>265</v>
      </c>
      <c r="B157" s="62" t="s">
        <v>266</v>
      </c>
      <c r="C157" s="54" t="s">
        <v>899</v>
      </c>
      <c r="D157" s="83"/>
      <c r="E157" s="63"/>
      <c r="F157" s="83"/>
      <c r="G157" s="64"/>
      <c r="H157" s="83"/>
      <c r="I157" s="67"/>
      <c r="J157" s="71"/>
      <c r="K157" s="84">
        <f t="shared" si="22"/>
        <v>0</v>
      </c>
      <c r="L157" s="67">
        <f t="shared" si="23"/>
        <v>0</v>
      </c>
    </row>
    <row r="158" spans="1:12" hidden="1" outlineLevel="1" x14ac:dyDescent="0.35">
      <c r="A158" s="37" t="s">
        <v>267</v>
      </c>
      <c r="B158" s="62" t="s">
        <v>268</v>
      </c>
      <c r="C158" s="54" t="s">
        <v>899</v>
      </c>
      <c r="D158" s="83"/>
      <c r="E158" s="63"/>
      <c r="F158" s="83"/>
      <c r="G158" s="64"/>
      <c r="H158" s="83"/>
      <c r="I158" s="67"/>
      <c r="J158" s="71"/>
      <c r="K158" s="84">
        <f t="shared" si="22"/>
        <v>0</v>
      </c>
      <c r="L158" s="67">
        <f t="shared" si="23"/>
        <v>0</v>
      </c>
    </row>
    <row r="159" spans="1:12" hidden="1" outlineLevel="1" x14ac:dyDescent="0.35">
      <c r="A159" s="37" t="s">
        <v>269</v>
      </c>
      <c r="B159" s="62" t="s">
        <v>270</v>
      </c>
      <c r="C159" s="54" t="s">
        <v>899</v>
      </c>
      <c r="D159" s="83"/>
      <c r="E159" s="63"/>
      <c r="F159" s="83">
        <v>48906</v>
      </c>
      <c r="G159" s="64"/>
      <c r="H159" s="83"/>
      <c r="I159" s="67"/>
      <c r="J159" s="71"/>
      <c r="K159" s="84">
        <f t="shared" si="22"/>
        <v>0</v>
      </c>
      <c r="L159" s="67">
        <f t="shared" si="23"/>
        <v>48906</v>
      </c>
    </row>
    <row r="160" spans="1:12" hidden="1" outlineLevel="1" x14ac:dyDescent="0.35">
      <c r="A160" s="37" t="s">
        <v>271</v>
      </c>
      <c r="B160" s="62" t="s">
        <v>272</v>
      </c>
      <c r="C160" s="54" t="s">
        <v>899</v>
      </c>
      <c r="D160" s="83"/>
      <c r="E160" s="63"/>
      <c r="F160" s="83">
        <v>30</v>
      </c>
      <c r="G160" s="64"/>
      <c r="H160" s="83"/>
      <c r="I160" s="67"/>
      <c r="J160" s="71"/>
      <c r="K160" s="84">
        <f t="shared" si="22"/>
        <v>0</v>
      </c>
      <c r="L160" s="67">
        <f t="shared" si="23"/>
        <v>30</v>
      </c>
    </row>
    <row r="161" spans="1:12" hidden="1" outlineLevel="1" x14ac:dyDescent="0.35">
      <c r="A161" s="37" t="s">
        <v>273</v>
      </c>
      <c r="B161" s="62" t="s">
        <v>274</v>
      </c>
      <c r="C161" s="54" t="s">
        <v>899</v>
      </c>
      <c r="D161" s="83"/>
      <c r="E161" s="63"/>
      <c r="F161" s="83"/>
      <c r="G161" s="64"/>
      <c r="H161" s="83"/>
      <c r="I161" s="67"/>
      <c r="J161" s="71"/>
      <c r="K161" s="84">
        <f t="shared" si="22"/>
        <v>0</v>
      </c>
      <c r="L161" s="67">
        <f t="shared" si="23"/>
        <v>0</v>
      </c>
    </row>
    <row r="162" spans="1:12" hidden="1" outlineLevel="1" x14ac:dyDescent="0.35">
      <c r="A162" s="37" t="s">
        <v>275</v>
      </c>
      <c r="B162" s="62" t="s">
        <v>276</v>
      </c>
      <c r="C162" s="54" t="s">
        <v>899</v>
      </c>
      <c r="D162" s="83"/>
      <c r="E162" s="63"/>
      <c r="F162" s="83">
        <v>30106</v>
      </c>
      <c r="G162" s="64"/>
      <c r="H162" s="83"/>
      <c r="I162" s="67"/>
      <c r="J162" s="71"/>
      <c r="K162" s="84">
        <f t="shared" si="22"/>
        <v>0</v>
      </c>
      <c r="L162" s="67">
        <f t="shared" si="23"/>
        <v>30106</v>
      </c>
    </row>
    <row r="163" spans="1:12" hidden="1" outlineLevel="1" x14ac:dyDescent="0.35">
      <c r="A163" s="37" t="s">
        <v>277</v>
      </c>
      <c r="B163" s="62" t="s">
        <v>278</v>
      </c>
      <c r="C163" s="54" t="s">
        <v>899</v>
      </c>
      <c r="D163" s="83"/>
      <c r="E163" s="63"/>
      <c r="F163" s="83">
        <v>-165904</v>
      </c>
      <c r="G163" s="64"/>
      <c r="H163" s="83"/>
      <c r="I163" s="67"/>
      <c r="J163" s="71"/>
      <c r="K163" s="84">
        <f t="shared" si="22"/>
        <v>0</v>
      </c>
      <c r="L163" s="67">
        <f t="shared" si="23"/>
        <v>-165904</v>
      </c>
    </row>
    <row r="164" spans="1:12" hidden="1" outlineLevel="1" x14ac:dyDescent="0.35">
      <c r="A164" s="37" t="s">
        <v>279</v>
      </c>
      <c r="B164" s="62" t="s">
        <v>280</v>
      </c>
      <c r="C164" s="54" t="s">
        <v>899</v>
      </c>
      <c r="D164" s="83"/>
      <c r="E164" s="63"/>
      <c r="F164" s="83">
        <v>-30</v>
      </c>
      <c r="G164" s="64"/>
      <c r="H164" s="83"/>
      <c r="I164" s="67"/>
      <c r="J164" s="71"/>
      <c r="K164" s="84">
        <f t="shared" si="22"/>
        <v>0</v>
      </c>
      <c r="L164" s="67">
        <f t="shared" si="23"/>
        <v>-30</v>
      </c>
    </row>
    <row r="165" spans="1:12" hidden="1" outlineLevel="1" x14ac:dyDescent="0.35">
      <c r="A165" s="37" t="s">
        <v>281</v>
      </c>
      <c r="B165" s="62" t="s">
        <v>282</v>
      </c>
      <c r="C165" s="54" t="s">
        <v>899</v>
      </c>
      <c r="D165" s="83"/>
      <c r="E165" s="63"/>
      <c r="F165" s="83"/>
      <c r="G165" s="64"/>
      <c r="H165" s="83"/>
      <c r="I165" s="67"/>
      <c r="J165" s="71"/>
      <c r="K165" s="84">
        <f t="shared" si="22"/>
        <v>0</v>
      </c>
      <c r="L165" s="67">
        <f t="shared" si="23"/>
        <v>0</v>
      </c>
    </row>
    <row r="166" spans="1:12" hidden="1" outlineLevel="1" x14ac:dyDescent="0.35">
      <c r="A166" s="37" t="s">
        <v>283</v>
      </c>
      <c r="B166" s="62" t="s">
        <v>284</v>
      </c>
      <c r="C166" s="54" t="s">
        <v>899</v>
      </c>
      <c r="D166" s="83"/>
      <c r="E166" s="63"/>
      <c r="F166" s="83">
        <v>-3147</v>
      </c>
      <c r="G166" s="64"/>
      <c r="H166" s="83"/>
      <c r="I166" s="67"/>
      <c r="J166" s="71"/>
      <c r="K166" s="84">
        <f t="shared" si="22"/>
        <v>0</v>
      </c>
      <c r="L166" s="67">
        <f t="shared" si="23"/>
        <v>-3147</v>
      </c>
    </row>
    <row r="167" spans="1:12" hidden="1" outlineLevel="1" x14ac:dyDescent="0.35">
      <c r="A167" s="37" t="s">
        <v>285</v>
      </c>
      <c r="B167" s="62" t="s">
        <v>286</v>
      </c>
      <c r="C167" s="54" t="s">
        <v>899</v>
      </c>
      <c r="D167" s="83"/>
      <c r="E167" s="63"/>
      <c r="F167" s="83"/>
      <c r="G167" s="64">
        <v>-39782</v>
      </c>
      <c r="H167" s="83"/>
      <c r="I167" s="67"/>
      <c r="J167" s="71"/>
      <c r="K167" s="84">
        <f t="shared" si="22"/>
        <v>0</v>
      </c>
      <c r="L167" s="67">
        <f t="shared" si="23"/>
        <v>-39782</v>
      </c>
    </row>
    <row r="168" spans="1:12" hidden="1" outlineLevel="1" x14ac:dyDescent="0.35">
      <c r="A168" s="37" t="s">
        <v>287</v>
      </c>
      <c r="B168" s="62" t="s">
        <v>288</v>
      </c>
      <c r="C168" s="54" t="s">
        <v>899</v>
      </c>
      <c r="D168" s="83"/>
      <c r="E168" s="63"/>
      <c r="F168" s="83">
        <v>51565</v>
      </c>
      <c r="G168" s="64">
        <v>20963</v>
      </c>
      <c r="H168" s="83">
        <v>20926</v>
      </c>
      <c r="I168" s="67">
        <v>12743</v>
      </c>
      <c r="J168" s="71"/>
      <c r="K168" s="84">
        <f t="shared" si="22"/>
        <v>12743</v>
      </c>
      <c r="L168" s="67">
        <f t="shared" si="23"/>
        <v>106197</v>
      </c>
    </row>
    <row r="169" spans="1:12" hidden="1" outlineLevel="1" x14ac:dyDescent="0.35">
      <c r="A169" s="37" t="s">
        <v>289</v>
      </c>
      <c r="B169" s="62" t="s">
        <v>290</v>
      </c>
      <c r="C169" s="54" t="s">
        <v>899</v>
      </c>
      <c r="D169" s="83"/>
      <c r="E169" s="63"/>
      <c r="F169" s="83"/>
      <c r="G169" s="64"/>
      <c r="H169" s="83"/>
      <c r="I169" s="67"/>
      <c r="J169" s="71"/>
      <c r="K169" s="84">
        <f t="shared" si="22"/>
        <v>0</v>
      </c>
      <c r="L169" s="67">
        <f t="shared" si="23"/>
        <v>0</v>
      </c>
    </row>
    <row r="170" spans="1:12" hidden="1" outlineLevel="1" x14ac:dyDescent="0.35">
      <c r="A170" s="37" t="s">
        <v>291</v>
      </c>
      <c r="B170" s="62" t="s">
        <v>292</v>
      </c>
      <c r="C170" s="54" t="s">
        <v>899</v>
      </c>
      <c r="D170" s="83"/>
      <c r="E170" s="63"/>
      <c r="F170" s="83">
        <f>4951+25172</f>
        <v>30123</v>
      </c>
      <c r="G170" s="64">
        <v>16021</v>
      </c>
      <c r="H170" s="83">
        <v>23244</v>
      </c>
      <c r="I170" s="67">
        <v>7930</v>
      </c>
      <c r="J170" s="71"/>
      <c r="K170" s="84">
        <f t="shared" si="22"/>
        <v>7930</v>
      </c>
      <c r="L170" s="67">
        <f t="shared" si="23"/>
        <v>77318</v>
      </c>
    </row>
    <row r="171" spans="1:12" hidden="1" outlineLevel="1" x14ac:dyDescent="0.35">
      <c r="A171" s="37" t="s">
        <v>293</v>
      </c>
      <c r="B171" s="62" t="s">
        <v>294</v>
      </c>
      <c r="C171" s="54" t="s">
        <v>899</v>
      </c>
      <c r="D171" s="83"/>
      <c r="E171" s="63"/>
      <c r="F171" s="83"/>
      <c r="G171" s="64"/>
      <c r="H171" s="83"/>
      <c r="I171" s="67"/>
      <c r="J171" s="71"/>
      <c r="K171" s="84">
        <f t="shared" si="22"/>
        <v>0</v>
      </c>
      <c r="L171" s="67">
        <f t="shared" si="23"/>
        <v>0</v>
      </c>
    </row>
    <row r="172" spans="1:12" ht="15" collapsed="1" thickBot="1" x14ac:dyDescent="0.4">
      <c r="A172" s="37"/>
      <c r="B172" s="62" t="s">
        <v>325</v>
      </c>
      <c r="C172" s="54"/>
      <c r="D172" s="83">
        <f>SUM(D173:D190)</f>
        <v>0</v>
      </c>
      <c r="E172" s="63">
        <f t="shared" ref="E172:I172" si="27">SUM(E173:E190)</f>
        <v>350000</v>
      </c>
      <c r="F172" s="83">
        <f t="shared" si="27"/>
        <v>1650459</v>
      </c>
      <c r="G172" s="63">
        <f t="shared" si="27"/>
        <v>824778</v>
      </c>
      <c r="H172" s="83">
        <f>SUM(H173:H190)</f>
        <v>849232</v>
      </c>
      <c r="I172" s="63">
        <f t="shared" si="27"/>
        <v>56243</v>
      </c>
      <c r="J172" s="71"/>
      <c r="K172" s="84">
        <f t="shared" si="22"/>
        <v>56243</v>
      </c>
      <c r="L172" s="67">
        <f t="shared" si="23"/>
        <v>3730712</v>
      </c>
    </row>
    <row r="173" spans="1:12" hidden="1" outlineLevel="1" x14ac:dyDescent="0.35">
      <c r="A173" s="37" t="s">
        <v>295</v>
      </c>
      <c r="B173" s="62" t="s">
        <v>296</v>
      </c>
      <c r="C173" s="54" t="s">
        <v>325</v>
      </c>
      <c r="D173" s="83"/>
      <c r="E173" s="63"/>
      <c r="F173" s="83">
        <v>12261</v>
      </c>
      <c r="G173" s="64"/>
      <c r="H173" s="85"/>
      <c r="I173" s="67"/>
      <c r="J173" s="71"/>
      <c r="K173" s="84">
        <f t="shared" si="22"/>
        <v>0</v>
      </c>
      <c r="L173" s="67">
        <f t="shared" si="23"/>
        <v>12261</v>
      </c>
    </row>
    <row r="174" spans="1:12" hidden="1" outlineLevel="1" x14ac:dyDescent="0.35">
      <c r="A174" s="37" t="s">
        <v>297</v>
      </c>
      <c r="B174" s="62" t="s">
        <v>298</v>
      </c>
      <c r="C174" s="54" t="s">
        <v>325</v>
      </c>
      <c r="D174" s="83"/>
      <c r="E174" s="63"/>
      <c r="F174" s="83"/>
      <c r="G174" s="64"/>
      <c r="H174" s="85"/>
      <c r="I174" s="67"/>
      <c r="J174" s="71"/>
      <c r="K174" s="84">
        <f t="shared" si="22"/>
        <v>0</v>
      </c>
      <c r="L174" s="67">
        <f t="shared" si="23"/>
        <v>0</v>
      </c>
    </row>
    <row r="175" spans="1:12" hidden="1" outlineLevel="1" x14ac:dyDescent="0.35">
      <c r="A175" s="37" t="s">
        <v>299</v>
      </c>
      <c r="B175" s="62" t="s">
        <v>232</v>
      </c>
      <c r="C175" s="54" t="s">
        <v>325</v>
      </c>
      <c r="D175" s="83"/>
      <c r="E175" s="63"/>
      <c r="F175" s="83"/>
      <c r="G175" s="64">
        <v>9115</v>
      </c>
      <c r="H175" s="85"/>
      <c r="I175" s="67"/>
      <c r="J175" s="71"/>
      <c r="K175" s="84">
        <f t="shared" si="22"/>
        <v>0</v>
      </c>
      <c r="L175" s="67">
        <f t="shared" si="23"/>
        <v>9115</v>
      </c>
    </row>
    <row r="176" spans="1:12" hidden="1" outlineLevel="1" x14ac:dyDescent="0.35">
      <c r="A176" s="37" t="s">
        <v>300</v>
      </c>
      <c r="B176" s="62" t="s">
        <v>234</v>
      </c>
      <c r="C176" s="54" t="s">
        <v>325</v>
      </c>
      <c r="D176" s="83"/>
      <c r="E176" s="63"/>
      <c r="F176" s="83"/>
      <c r="G176" s="64"/>
      <c r="H176" s="85"/>
      <c r="I176" s="67"/>
      <c r="J176" s="71"/>
      <c r="K176" s="84">
        <f t="shared" si="22"/>
        <v>0</v>
      </c>
      <c r="L176" s="67">
        <f t="shared" si="23"/>
        <v>0</v>
      </c>
    </row>
    <row r="177" spans="1:12" hidden="1" outlineLevel="1" x14ac:dyDescent="0.35">
      <c r="A177" s="37" t="s">
        <v>301</v>
      </c>
      <c r="B177" s="62" t="s">
        <v>302</v>
      </c>
      <c r="C177" s="54" t="s">
        <v>325</v>
      </c>
      <c r="D177" s="83"/>
      <c r="E177" s="63"/>
      <c r="F177" s="83"/>
      <c r="G177" s="64">
        <v>2039</v>
      </c>
      <c r="H177" s="85"/>
      <c r="I177" s="67"/>
      <c r="J177" s="71"/>
      <c r="K177" s="84">
        <f t="shared" si="22"/>
        <v>0</v>
      </c>
      <c r="L177" s="67">
        <f t="shared" si="23"/>
        <v>2039</v>
      </c>
    </row>
    <row r="178" spans="1:12" hidden="1" outlineLevel="1" x14ac:dyDescent="0.35">
      <c r="A178" s="37" t="s">
        <v>303</v>
      </c>
      <c r="B178" s="62" t="s">
        <v>304</v>
      </c>
      <c r="C178" s="54" t="s">
        <v>325</v>
      </c>
      <c r="D178" s="83"/>
      <c r="E178" s="63"/>
      <c r="F178" s="83">
        <v>213498</v>
      </c>
      <c r="G178" s="64">
        <v>113624</v>
      </c>
      <c r="H178" s="85">
        <v>109232</v>
      </c>
      <c r="I178" s="67">
        <v>56243</v>
      </c>
      <c r="J178" s="71"/>
      <c r="K178" s="84">
        <f t="shared" si="22"/>
        <v>56243</v>
      </c>
      <c r="L178" s="67">
        <f t="shared" si="23"/>
        <v>492597</v>
      </c>
    </row>
    <row r="179" spans="1:12" hidden="1" outlineLevel="1" x14ac:dyDescent="0.35">
      <c r="A179" s="37" t="s">
        <v>305</v>
      </c>
      <c r="B179" s="62" t="s">
        <v>306</v>
      </c>
      <c r="C179" s="54" t="s">
        <v>325</v>
      </c>
      <c r="D179" s="83"/>
      <c r="E179" s="63"/>
      <c r="F179" s="83"/>
      <c r="G179" s="64"/>
      <c r="H179" s="85"/>
      <c r="I179" s="67"/>
      <c r="J179" s="71"/>
      <c r="K179" s="84">
        <f t="shared" si="22"/>
        <v>0</v>
      </c>
      <c r="L179" s="67">
        <f t="shared" si="23"/>
        <v>0</v>
      </c>
    </row>
    <row r="180" spans="1:12" hidden="1" outlineLevel="1" x14ac:dyDescent="0.35">
      <c r="A180" s="37" t="s">
        <v>307</v>
      </c>
      <c r="B180" s="62" t="s">
        <v>308</v>
      </c>
      <c r="C180" s="54" t="s">
        <v>325</v>
      </c>
      <c r="D180" s="83"/>
      <c r="E180" s="63"/>
      <c r="F180" s="83"/>
      <c r="G180" s="64"/>
      <c r="H180" s="85"/>
      <c r="I180" s="67"/>
      <c r="J180" s="71"/>
      <c r="K180" s="84">
        <f t="shared" si="22"/>
        <v>0</v>
      </c>
      <c r="L180" s="67">
        <f t="shared" si="23"/>
        <v>0</v>
      </c>
    </row>
    <row r="181" spans="1:12" hidden="1" outlineLevel="1" x14ac:dyDescent="0.35">
      <c r="A181" s="37" t="s">
        <v>309</v>
      </c>
      <c r="B181" s="69" t="s">
        <v>310</v>
      </c>
      <c r="C181" s="54" t="s">
        <v>325</v>
      </c>
      <c r="D181" s="83"/>
      <c r="E181" s="63"/>
      <c r="F181" s="83">
        <v>66060</v>
      </c>
      <c r="G181" s="64"/>
      <c r="H181" s="85"/>
      <c r="I181" s="67"/>
      <c r="J181" s="71"/>
      <c r="K181" s="84">
        <f t="shared" si="22"/>
        <v>0</v>
      </c>
      <c r="L181" s="67">
        <f t="shared" si="23"/>
        <v>66060</v>
      </c>
    </row>
    <row r="182" spans="1:12" hidden="1" outlineLevel="1" x14ac:dyDescent="0.35">
      <c r="A182" s="37" t="s">
        <v>311</v>
      </c>
      <c r="B182" s="62" t="s">
        <v>312</v>
      </c>
      <c r="C182" s="54" t="s">
        <v>325</v>
      </c>
      <c r="D182" s="83"/>
      <c r="E182" s="63">
        <v>350000</v>
      </c>
      <c r="F182" s="83">
        <v>1350000</v>
      </c>
      <c r="G182" s="64">
        <v>700000</v>
      </c>
      <c r="H182" s="85">
        <v>740000</v>
      </c>
      <c r="I182" s="67"/>
      <c r="J182" s="71"/>
      <c r="K182" s="84">
        <f t="shared" si="22"/>
        <v>0</v>
      </c>
      <c r="L182" s="67">
        <f t="shared" si="23"/>
        <v>3140000</v>
      </c>
    </row>
    <row r="183" spans="1:12" hidden="1" outlineLevel="1" x14ac:dyDescent="0.35">
      <c r="A183" s="37" t="s">
        <v>313</v>
      </c>
      <c r="B183" s="62" t="s">
        <v>901</v>
      </c>
      <c r="C183" s="54" t="s">
        <v>325</v>
      </c>
      <c r="D183" s="83"/>
      <c r="E183" s="63"/>
      <c r="F183" s="83"/>
      <c r="G183" s="64"/>
      <c r="H183" s="85"/>
      <c r="I183" s="67"/>
      <c r="J183" s="71"/>
      <c r="K183" s="84">
        <f t="shared" si="22"/>
        <v>0</v>
      </c>
      <c r="L183" s="67">
        <f t="shared" si="23"/>
        <v>0</v>
      </c>
    </row>
    <row r="184" spans="1:12" hidden="1" outlineLevel="1" x14ac:dyDescent="0.35">
      <c r="A184" s="37" t="s">
        <v>314</v>
      </c>
      <c r="B184" s="62" t="s">
        <v>315</v>
      </c>
      <c r="C184" s="54" t="s">
        <v>325</v>
      </c>
      <c r="D184" s="83"/>
      <c r="E184" s="63"/>
      <c r="F184" s="83">
        <v>8640</v>
      </c>
      <c r="G184" s="64"/>
      <c r="H184" s="85"/>
      <c r="I184" s="67"/>
      <c r="J184" s="71"/>
      <c r="K184" s="84">
        <f t="shared" si="22"/>
        <v>0</v>
      </c>
      <c r="L184" s="67">
        <f t="shared" si="23"/>
        <v>8640</v>
      </c>
    </row>
    <row r="185" spans="1:12" hidden="1" outlineLevel="1" x14ac:dyDescent="0.35">
      <c r="A185" s="37" t="s">
        <v>316</v>
      </c>
      <c r="B185" s="62" t="s">
        <v>317</v>
      </c>
      <c r="C185" s="54" t="s">
        <v>325</v>
      </c>
      <c r="D185" s="83"/>
      <c r="E185" s="63"/>
      <c r="F185" s="83"/>
      <c r="G185" s="64"/>
      <c r="H185" s="85"/>
      <c r="I185" s="67"/>
      <c r="J185" s="71"/>
      <c r="K185" s="84">
        <f t="shared" si="22"/>
        <v>0</v>
      </c>
      <c r="L185" s="67">
        <f t="shared" si="23"/>
        <v>0</v>
      </c>
    </row>
    <row r="186" spans="1:12" hidden="1" outlineLevel="1" x14ac:dyDescent="0.35">
      <c r="A186" s="37" t="s">
        <v>318</v>
      </c>
      <c r="B186" s="62" t="s">
        <v>319</v>
      </c>
      <c r="C186" s="54" t="s">
        <v>325</v>
      </c>
      <c r="D186" s="83"/>
      <c r="E186" s="63"/>
      <c r="F186" s="83"/>
      <c r="G186" s="64"/>
      <c r="H186" s="85"/>
      <c r="I186" s="67"/>
      <c r="J186" s="71"/>
      <c r="K186" s="84">
        <f t="shared" si="22"/>
        <v>0</v>
      </c>
      <c r="L186" s="67">
        <f t="shared" si="23"/>
        <v>0</v>
      </c>
    </row>
    <row r="187" spans="1:12" hidden="1" outlineLevel="1" x14ac:dyDescent="0.35">
      <c r="A187" s="37" t="s">
        <v>320</v>
      </c>
      <c r="B187" s="62" t="s">
        <v>321</v>
      </c>
      <c r="C187" s="54" t="s">
        <v>325</v>
      </c>
      <c r="D187" s="83"/>
      <c r="E187" s="63"/>
      <c r="F187" s="83"/>
      <c r="G187" s="64"/>
      <c r="H187" s="85"/>
      <c r="I187" s="67"/>
      <c r="J187" s="71"/>
      <c r="K187" s="84">
        <f t="shared" si="22"/>
        <v>0</v>
      </c>
      <c r="L187" s="67">
        <f t="shared" si="23"/>
        <v>0</v>
      </c>
    </row>
    <row r="188" spans="1:12" hidden="1" outlineLevel="1" x14ac:dyDescent="0.35">
      <c r="A188" s="37" t="s">
        <v>322</v>
      </c>
      <c r="B188" s="62" t="s">
        <v>323</v>
      </c>
      <c r="C188" s="54" t="s">
        <v>325</v>
      </c>
      <c r="D188" s="83"/>
      <c r="E188" s="63"/>
      <c r="F188" s="83"/>
      <c r="G188" s="64"/>
      <c r="H188" s="85"/>
      <c r="I188" s="67"/>
      <c r="J188" s="71"/>
      <c r="K188" s="84">
        <f t="shared" si="22"/>
        <v>0</v>
      </c>
      <c r="L188" s="67">
        <f t="shared" si="23"/>
        <v>0</v>
      </c>
    </row>
    <row r="189" spans="1:12" hidden="1" outlineLevel="1" x14ac:dyDescent="0.35">
      <c r="A189" s="37" t="s">
        <v>324</v>
      </c>
      <c r="B189" s="62" t="s">
        <v>325</v>
      </c>
      <c r="C189" s="54" t="s">
        <v>325</v>
      </c>
      <c r="D189" s="83"/>
      <c r="E189" s="63"/>
      <c r="F189" s="83"/>
      <c r="G189" s="64"/>
      <c r="H189" s="85"/>
      <c r="I189" s="67"/>
      <c r="J189" s="71"/>
      <c r="K189" s="84">
        <f t="shared" si="22"/>
        <v>0</v>
      </c>
      <c r="L189" s="67">
        <f t="shared" si="23"/>
        <v>0</v>
      </c>
    </row>
    <row r="190" spans="1:12" ht="15" hidden="1" outlineLevel="1" thickBot="1" x14ac:dyDescent="0.4">
      <c r="A190" s="37" t="s">
        <v>326</v>
      </c>
      <c r="B190" s="62" t="s">
        <v>327</v>
      </c>
      <c r="C190" s="54" t="s">
        <v>325</v>
      </c>
      <c r="D190" s="83"/>
      <c r="E190" s="63"/>
      <c r="F190" s="83"/>
      <c r="G190" s="64"/>
      <c r="H190" s="85"/>
      <c r="I190" s="67"/>
      <c r="J190" s="71"/>
      <c r="K190" s="84">
        <f t="shared" si="22"/>
        <v>0</v>
      </c>
      <c r="L190" s="67">
        <f t="shared" si="23"/>
        <v>0</v>
      </c>
    </row>
    <row r="191" spans="1:12" ht="15" collapsed="1" thickBot="1" x14ac:dyDescent="0.4">
      <c r="A191" s="49"/>
      <c r="B191" s="112" t="s">
        <v>1285</v>
      </c>
      <c r="C191" s="50"/>
      <c r="D191" s="86">
        <f>SUM(D124:D172)</f>
        <v>0</v>
      </c>
      <c r="E191" s="51">
        <f t="shared" ref="E191:F191" si="28">E124+E127+E146+E151+E172</f>
        <v>6515483</v>
      </c>
      <c r="F191" s="51">
        <f t="shared" si="28"/>
        <v>5727362</v>
      </c>
      <c r="G191" s="51">
        <f>G124+G127+G146+G151+G172</f>
        <v>8714561</v>
      </c>
      <c r="H191" s="51">
        <f t="shared" ref="H191:I191" si="29">H124+H127+H146+H151+H172</f>
        <v>4897101</v>
      </c>
      <c r="I191" s="51">
        <f t="shared" si="29"/>
        <v>1036086</v>
      </c>
      <c r="J191" s="141"/>
      <c r="K191" s="142">
        <f t="shared" si="22"/>
        <v>1036086</v>
      </c>
      <c r="L191" s="113">
        <f t="shared" si="23"/>
        <v>26890593</v>
      </c>
    </row>
    <row r="192" spans="1:12" x14ac:dyDescent="0.35">
      <c r="A192" s="52"/>
      <c r="B192" s="72"/>
      <c r="C192" s="53"/>
      <c r="D192" s="87"/>
      <c r="E192" s="73"/>
      <c r="F192" s="87"/>
      <c r="G192" s="73"/>
      <c r="H192" s="87"/>
      <c r="I192" s="67"/>
      <c r="J192" s="71"/>
      <c r="K192" s="84">
        <f t="shared" si="22"/>
        <v>0</v>
      </c>
      <c r="L192" s="67">
        <f t="shared" si="23"/>
        <v>0</v>
      </c>
    </row>
    <row r="193" spans="1:12" x14ac:dyDescent="0.35">
      <c r="A193" s="52"/>
      <c r="B193" s="72"/>
      <c r="C193" s="53"/>
      <c r="D193" s="87"/>
      <c r="E193" s="73"/>
      <c r="F193" s="87"/>
      <c r="G193" s="73"/>
      <c r="H193" s="87"/>
      <c r="I193" s="67"/>
      <c r="J193" s="71"/>
      <c r="K193" s="84">
        <f t="shared" si="22"/>
        <v>0</v>
      </c>
      <c r="L193" s="67">
        <f t="shared" si="23"/>
        <v>0</v>
      </c>
    </row>
    <row r="194" spans="1:12" collapsed="1" x14ac:dyDescent="0.35">
      <c r="A194" s="37"/>
      <c r="B194" s="62" t="s">
        <v>903</v>
      </c>
      <c r="C194" s="54"/>
      <c r="D194" s="83">
        <f>SUM(D195:D255)</f>
        <v>52880</v>
      </c>
      <c r="E194" s="63">
        <f t="shared" ref="E194:H194" si="30">SUM(E195:E255)</f>
        <v>392226</v>
      </c>
      <c r="F194" s="83">
        <f t="shared" si="30"/>
        <v>1095489</v>
      </c>
      <c r="G194" s="63">
        <f>SUM(G195:G255)</f>
        <v>2556176</v>
      </c>
      <c r="H194" s="83">
        <f t="shared" si="30"/>
        <v>1064754</v>
      </c>
      <c r="I194" s="63">
        <f>SUM(I195:I255)</f>
        <v>357513</v>
      </c>
      <c r="J194" s="71"/>
      <c r="K194" s="84">
        <f t="shared" si="22"/>
        <v>357513</v>
      </c>
      <c r="L194" s="67">
        <f t="shared" si="23"/>
        <v>5519038</v>
      </c>
    </row>
    <row r="195" spans="1:12" hidden="1" outlineLevel="1" x14ac:dyDescent="0.35">
      <c r="A195" s="37" t="s">
        <v>328</v>
      </c>
      <c r="B195" s="62" t="s">
        <v>329</v>
      </c>
      <c r="C195" s="54" t="s">
        <v>903</v>
      </c>
      <c r="D195" s="83"/>
      <c r="E195" s="63"/>
      <c r="F195" s="83">
        <v>80770</v>
      </c>
      <c r="G195" s="64"/>
      <c r="H195" s="85"/>
      <c r="I195" s="67"/>
      <c r="J195" s="71"/>
      <c r="K195" s="84">
        <f t="shared" si="22"/>
        <v>0</v>
      </c>
      <c r="L195" s="67">
        <f t="shared" si="23"/>
        <v>80770</v>
      </c>
    </row>
    <row r="196" spans="1:12" hidden="1" outlineLevel="1" x14ac:dyDescent="0.35">
      <c r="A196" s="37" t="s">
        <v>330</v>
      </c>
      <c r="B196" s="62" t="s">
        <v>331</v>
      </c>
      <c r="C196" s="54" t="s">
        <v>903</v>
      </c>
      <c r="D196" s="83"/>
      <c r="E196" s="63"/>
      <c r="F196" s="83"/>
      <c r="G196" s="64">
        <v>11500</v>
      </c>
      <c r="H196" s="85"/>
      <c r="I196" s="67"/>
      <c r="J196" s="71"/>
      <c r="K196" s="84">
        <f t="shared" si="22"/>
        <v>0</v>
      </c>
      <c r="L196" s="67">
        <f t="shared" si="23"/>
        <v>11500</v>
      </c>
    </row>
    <row r="197" spans="1:12" hidden="1" outlineLevel="1" x14ac:dyDescent="0.35">
      <c r="A197" s="37" t="s">
        <v>332</v>
      </c>
      <c r="B197" s="62" t="s">
        <v>333</v>
      </c>
      <c r="C197" s="54" t="s">
        <v>903</v>
      </c>
      <c r="D197" s="85">
        <v>34880</v>
      </c>
      <c r="E197" s="63"/>
      <c r="F197" s="83"/>
      <c r="G197" s="64"/>
      <c r="H197" s="85">
        <v>130144</v>
      </c>
      <c r="I197" s="67"/>
      <c r="J197" s="71"/>
      <c r="K197" s="84">
        <f t="shared" si="22"/>
        <v>0</v>
      </c>
      <c r="L197" s="67">
        <f t="shared" si="23"/>
        <v>165024</v>
      </c>
    </row>
    <row r="198" spans="1:12" hidden="1" outlineLevel="1" x14ac:dyDescent="0.35">
      <c r="A198" s="37" t="s">
        <v>334</v>
      </c>
      <c r="B198" s="62" t="s">
        <v>335</v>
      </c>
      <c r="C198" s="54" t="s">
        <v>903</v>
      </c>
      <c r="D198" s="85"/>
      <c r="E198" s="63"/>
      <c r="F198" s="83"/>
      <c r="G198" s="64"/>
      <c r="H198" s="85"/>
      <c r="I198" s="67"/>
      <c r="J198" s="71"/>
      <c r="K198" s="84">
        <f t="shared" si="22"/>
        <v>0</v>
      </c>
      <c r="L198" s="67">
        <f t="shared" si="23"/>
        <v>0</v>
      </c>
    </row>
    <row r="199" spans="1:12" hidden="1" outlineLevel="1" x14ac:dyDescent="0.35">
      <c r="A199" s="37" t="s">
        <v>336</v>
      </c>
      <c r="B199" s="62" t="s">
        <v>337</v>
      </c>
      <c r="C199" s="54" t="s">
        <v>903</v>
      </c>
      <c r="D199" s="85"/>
      <c r="E199" s="63"/>
      <c r="F199" s="83"/>
      <c r="G199" s="64"/>
      <c r="H199" s="85"/>
      <c r="I199" s="67"/>
      <c r="J199" s="71"/>
      <c r="K199" s="84">
        <f t="shared" si="22"/>
        <v>0</v>
      </c>
      <c r="L199" s="67">
        <f t="shared" si="23"/>
        <v>0</v>
      </c>
    </row>
    <row r="200" spans="1:12" hidden="1" outlineLevel="1" x14ac:dyDescent="0.35">
      <c r="A200" s="37" t="s">
        <v>338</v>
      </c>
      <c r="B200" s="62" t="s">
        <v>339</v>
      </c>
      <c r="C200" s="54" t="s">
        <v>903</v>
      </c>
      <c r="D200" s="85"/>
      <c r="E200" s="63"/>
      <c r="F200" s="83"/>
      <c r="G200" s="64"/>
      <c r="H200" s="85"/>
      <c r="I200" s="67"/>
      <c r="J200" s="71"/>
      <c r="K200" s="84">
        <f t="shared" si="22"/>
        <v>0</v>
      </c>
      <c r="L200" s="67">
        <f t="shared" si="23"/>
        <v>0</v>
      </c>
    </row>
    <row r="201" spans="1:12" hidden="1" outlineLevel="1" x14ac:dyDescent="0.35">
      <c r="A201" s="37" t="s">
        <v>340</v>
      </c>
      <c r="B201" s="62" t="s">
        <v>341</v>
      </c>
      <c r="C201" s="54" t="s">
        <v>903</v>
      </c>
      <c r="D201" s="85"/>
      <c r="E201" s="63"/>
      <c r="F201" s="83"/>
      <c r="G201" s="64"/>
      <c r="H201" s="85"/>
      <c r="I201" s="67"/>
      <c r="J201" s="71"/>
      <c r="K201" s="84">
        <f t="shared" ref="K201:K264" si="31">J201+I201</f>
        <v>0</v>
      </c>
      <c r="L201" s="67">
        <f t="shared" ref="L201:L264" si="32">K201+D201+E201+F201+G201+H201</f>
        <v>0</v>
      </c>
    </row>
    <row r="202" spans="1:12" hidden="1" outlineLevel="1" x14ac:dyDescent="0.35">
      <c r="A202" s="37" t="s">
        <v>342</v>
      </c>
      <c r="B202" s="62" t="s">
        <v>343</v>
      </c>
      <c r="C202" s="54" t="s">
        <v>903</v>
      </c>
      <c r="D202" s="85"/>
      <c r="E202" s="63"/>
      <c r="F202" s="83"/>
      <c r="G202" s="64"/>
      <c r="H202" s="85"/>
      <c r="I202" s="67"/>
      <c r="J202" s="71"/>
      <c r="K202" s="84">
        <f t="shared" si="31"/>
        <v>0</v>
      </c>
      <c r="L202" s="67">
        <f t="shared" si="32"/>
        <v>0</v>
      </c>
    </row>
    <row r="203" spans="1:12" hidden="1" outlineLevel="1" x14ac:dyDescent="0.35">
      <c r="A203" s="37" t="s">
        <v>344</v>
      </c>
      <c r="B203" s="62" t="s">
        <v>345</v>
      </c>
      <c r="C203" s="54" t="s">
        <v>903</v>
      </c>
      <c r="D203" s="85"/>
      <c r="E203" s="63"/>
      <c r="F203" s="83"/>
      <c r="G203" s="64"/>
      <c r="H203" s="85"/>
      <c r="I203" s="67"/>
      <c r="J203" s="71"/>
      <c r="K203" s="84">
        <f t="shared" si="31"/>
        <v>0</v>
      </c>
      <c r="L203" s="67">
        <f t="shared" si="32"/>
        <v>0</v>
      </c>
    </row>
    <row r="204" spans="1:12" hidden="1" outlineLevel="1" x14ac:dyDescent="0.35">
      <c r="A204" s="37" t="s">
        <v>346</v>
      </c>
      <c r="B204" s="62" t="s">
        <v>347</v>
      </c>
      <c r="C204" s="54" t="s">
        <v>903</v>
      </c>
      <c r="D204" s="85"/>
      <c r="E204" s="63"/>
      <c r="F204" s="83"/>
      <c r="G204" s="64"/>
      <c r="H204" s="85"/>
      <c r="I204" s="67"/>
      <c r="J204" s="71"/>
      <c r="K204" s="84">
        <f t="shared" si="31"/>
        <v>0</v>
      </c>
      <c r="L204" s="67">
        <f t="shared" si="32"/>
        <v>0</v>
      </c>
    </row>
    <row r="205" spans="1:12" hidden="1" outlineLevel="1" x14ac:dyDescent="0.35">
      <c r="A205" s="37" t="s">
        <v>348</v>
      </c>
      <c r="B205" s="62" t="s">
        <v>349</v>
      </c>
      <c r="C205" s="54" t="s">
        <v>903</v>
      </c>
      <c r="D205" s="85"/>
      <c r="E205" s="63"/>
      <c r="F205" s="83"/>
      <c r="G205" s="64"/>
      <c r="H205" s="85"/>
      <c r="I205" s="67"/>
      <c r="J205" s="71"/>
      <c r="K205" s="84">
        <f t="shared" si="31"/>
        <v>0</v>
      </c>
      <c r="L205" s="67">
        <f t="shared" si="32"/>
        <v>0</v>
      </c>
    </row>
    <row r="206" spans="1:12" hidden="1" outlineLevel="1" x14ac:dyDescent="0.35">
      <c r="A206" s="37" t="s">
        <v>350</v>
      </c>
      <c r="B206" s="62" t="s">
        <v>351</v>
      </c>
      <c r="C206" s="54" t="s">
        <v>903</v>
      </c>
      <c r="D206" s="85"/>
      <c r="E206" s="63"/>
      <c r="F206" s="83"/>
      <c r="G206" s="64"/>
      <c r="H206" s="85"/>
      <c r="I206" s="67"/>
      <c r="J206" s="71"/>
      <c r="K206" s="84">
        <f t="shared" si="31"/>
        <v>0</v>
      </c>
      <c r="L206" s="67">
        <f t="shared" si="32"/>
        <v>0</v>
      </c>
    </row>
    <row r="207" spans="1:12" hidden="1" outlineLevel="1" x14ac:dyDescent="0.35">
      <c r="A207" s="37" t="s">
        <v>352</v>
      </c>
      <c r="B207" s="62" t="s">
        <v>353</v>
      </c>
      <c r="C207" s="54" t="s">
        <v>903</v>
      </c>
      <c r="D207" s="85"/>
      <c r="E207" s="63"/>
      <c r="F207" s="83"/>
      <c r="G207" s="64"/>
      <c r="H207" s="85"/>
      <c r="I207" s="67"/>
      <c r="J207" s="71"/>
      <c r="K207" s="84">
        <f t="shared" si="31"/>
        <v>0</v>
      </c>
      <c r="L207" s="67">
        <f t="shared" si="32"/>
        <v>0</v>
      </c>
    </row>
    <row r="208" spans="1:12" hidden="1" outlineLevel="1" x14ac:dyDescent="0.35">
      <c r="A208" s="37" t="s">
        <v>354</v>
      </c>
      <c r="B208" s="62" t="s">
        <v>355</v>
      </c>
      <c r="C208" s="54" t="s">
        <v>903</v>
      </c>
      <c r="D208" s="85"/>
      <c r="E208" s="63"/>
      <c r="F208" s="83"/>
      <c r="G208" s="64"/>
      <c r="H208" s="85"/>
      <c r="I208" s="67"/>
      <c r="J208" s="71"/>
      <c r="K208" s="84">
        <f t="shared" si="31"/>
        <v>0</v>
      </c>
      <c r="L208" s="67">
        <f t="shared" si="32"/>
        <v>0</v>
      </c>
    </row>
    <row r="209" spans="1:12" hidden="1" outlineLevel="1" x14ac:dyDescent="0.35">
      <c r="A209" s="37" t="s">
        <v>356</v>
      </c>
      <c r="B209" s="62" t="s">
        <v>357</v>
      </c>
      <c r="C209" s="54" t="s">
        <v>903</v>
      </c>
      <c r="D209" s="85"/>
      <c r="E209" s="63"/>
      <c r="F209" s="83"/>
      <c r="G209" s="64"/>
      <c r="H209" s="85"/>
      <c r="I209" s="67"/>
      <c r="J209" s="71"/>
      <c r="K209" s="84">
        <f t="shared" si="31"/>
        <v>0</v>
      </c>
      <c r="L209" s="67">
        <f t="shared" si="32"/>
        <v>0</v>
      </c>
    </row>
    <row r="210" spans="1:12" hidden="1" outlineLevel="1" x14ac:dyDescent="0.35">
      <c r="A210" s="37" t="s">
        <v>358</v>
      </c>
      <c r="B210" s="62" t="s">
        <v>359</v>
      </c>
      <c r="C210" s="54" t="s">
        <v>903</v>
      </c>
      <c r="D210" s="85"/>
      <c r="E210" s="63"/>
      <c r="F210" s="83"/>
      <c r="G210" s="64">
        <v>4800</v>
      </c>
      <c r="H210" s="85"/>
      <c r="I210" s="67"/>
      <c r="J210" s="71"/>
      <c r="K210" s="84">
        <f t="shared" si="31"/>
        <v>0</v>
      </c>
      <c r="L210" s="67">
        <f t="shared" si="32"/>
        <v>4800</v>
      </c>
    </row>
    <row r="211" spans="1:12" hidden="1" outlineLevel="1" x14ac:dyDescent="0.35">
      <c r="A211" s="37" t="s">
        <v>360</v>
      </c>
      <c r="B211" s="62" t="s">
        <v>361</v>
      </c>
      <c r="C211" s="54" t="s">
        <v>903</v>
      </c>
      <c r="D211" s="85"/>
      <c r="E211" s="63"/>
      <c r="F211" s="83">
        <v>66926</v>
      </c>
      <c r="G211" s="64">
        <v>16711</v>
      </c>
      <c r="H211" s="85">
        <v>143978</v>
      </c>
      <c r="I211" s="67"/>
      <c r="J211" s="71"/>
      <c r="K211" s="84">
        <f t="shared" si="31"/>
        <v>0</v>
      </c>
      <c r="L211" s="67">
        <f t="shared" si="32"/>
        <v>227615</v>
      </c>
    </row>
    <row r="212" spans="1:12" hidden="1" outlineLevel="1" x14ac:dyDescent="0.35">
      <c r="A212" s="37" t="s">
        <v>362</v>
      </c>
      <c r="B212" s="62" t="s">
        <v>363</v>
      </c>
      <c r="C212" s="54" t="s">
        <v>903</v>
      </c>
      <c r="D212" s="85"/>
      <c r="E212" s="63"/>
      <c r="F212" s="83">
        <v>9434</v>
      </c>
      <c r="G212" s="64"/>
      <c r="H212" s="85">
        <v>50000</v>
      </c>
      <c r="I212" s="67"/>
      <c r="J212" s="71"/>
      <c r="K212" s="84">
        <f t="shared" si="31"/>
        <v>0</v>
      </c>
      <c r="L212" s="67">
        <f t="shared" si="32"/>
        <v>59434</v>
      </c>
    </row>
    <row r="213" spans="1:12" hidden="1" outlineLevel="1" x14ac:dyDescent="0.35">
      <c r="A213" s="37" t="s">
        <v>364</v>
      </c>
      <c r="B213" s="62" t="s">
        <v>365</v>
      </c>
      <c r="C213" s="54" t="s">
        <v>903</v>
      </c>
      <c r="D213" s="85" t="s">
        <v>1283</v>
      </c>
      <c r="E213" s="63"/>
      <c r="F213" s="83">
        <v>47928</v>
      </c>
      <c r="G213" s="64">
        <v>6096</v>
      </c>
      <c r="H213" s="85"/>
      <c r="I213" s="67"/>
      <c r="J213" s="71"/>
      <c r="K213" s="84">
        <f t="shared" si="31"/>
        <v>0</v>
      </c>
      <c r="L213" s="67" t="e">
        <f t="shared" si="32"/>
        <v>#VALUE!</v>
      </c>
    </row>
    <row r="214" spans="1:12" hidden="1" outlineLevel="1" x14ac:dyDescent="0.35">
      <c r="A214" s="37" t="s">
        <v>366</v>
      </c>
      <c r="B214" s="62" t="s">
        <v>367</v>
      </c>
      <c r="C214" s="54" t="s">
        <v>903</v>
      </c>
      <c r="D214" s="85"/>
      <c r="E214" s="63"/>
      <c r="F214" s="83"/>
      <c r="G214" s="64"/>
      <c r="H214" s="85"/>
      <c r="I214" s="67"/>
      <c r="J214" s="71"/>
      <c r="K214" s="84">
        <f t="shared" si="31"/>
        <v>0</v>
      </c>
      <c r="L214" s="67">
        <f t="shared" si="32"/>
        <v>0</v>
      </c>
    </row>
    <row r="215" spans="1:12" hidden="1" outlineLevel="1" x14ac:dyDescent="0.35">
      <c r="A215" s="37" t="s">
        <v>368</v>
      </c>
      <c r="B215" s="62" t="s">
        <v>906</v>
      </c>
      <c r="C215" s="54" t="s">
        <v>903</v>
      </c>
      <c r="D215" s="85"/>
      <c r="E215" s="63"/>
      <c r="F215" s="83"/>
      <c r="G215" s="64"/>
      <c r="H215" s="85"/>
      <c r="I215" s="67"/>
      <c r="J215" s="71"/>
      <c r="K215" s="84">
        <f t="shared" si="31"/>
        <v>0</v>
      </c>
      <c r="L215" s="67">
        <f t="shared" si="32"/>
        <v>0</v>
      </c>
    </row>
    <row r="216" spans="1:12" hidden="1" outlineLevel="1" x14ac:dyDescent="0.35">
      <c r="A216" s="37" t="s">
        <v>370</v>
      </c>
      <c r="B216" s="62" t="s">
        <v>371</v>
      </c>
      <c r="C216" s="54" t="s">
        <v>903</v>
      </c>
      <c r="D216" s="85"/>
      <c r="E216" s="63"/>
      <c r="F216" s="83"/>
      <c r="G216" s="64"/>
      <c r="H216" s="85"/>
      <c r="I216" s="67"/>
      <c r="J216" s="71"/>
      <c r="K216" s="84">
        <f t="shared" si="31"/>
        <v>0</v>
      </c>
      <c r="L216" s="67">
        <f t="shared" si="32"/>
        <v>0</v>
      </c>
    </row>
    <row r="217" spans="1:12" hidden="1" outlineLevel="1" x14ac:dyDescent="0.35">
      <c r="A217" s="37" t="s">
        <v>372</v>
      </c>
      <c r="B217" s="62" t="s">
        <v>373</v>
      </c>
      <c r="C217" s="54" t="s">
        <v>903</v>
      </c>
      <c r="D217" s="85"/>
      <c r="E217" s="63"/>
      <c r="F217" s="83"/>
      <c r="G217" s="64"/>
      <c r="H217" s="85"/>
      <c r="I217" s="67"/>
      <c r="J217" s="71"/>
      <c r="K217" s="84">
        <f t="shared" si="31"/>
        <v>0</v>
      </c>
      <c r="L217" s="67">
        <f t="shared" si="32"/>
        <v>0</v>
      </c>
    </row>
    <row r="218" spans="1:12" hidden="1" outlineLevel="1" x14ac:dyDescent="0.35">
      <c r="A218" s="37" t="s">
        <v>374</v>
      </c>
      <c r="B218" s="62" t="s">
        <v>907</v>
      </c>
      <c r="C218" s="54" t="s">
        <v>903</v>
      </c>
      <c r="D218" s="83"/>
      <c r="E218" s="63"/>
      <c r="F218" s="83">
        <v>250879</v>
      </c>
      <c r="G218" s="64">
        <v>127769</v>
      </c>
      <c r="H218" s="85">
        <v>16440</v>
      </c>
      <c r="I218" s="67"/>
      <c r="J218" s="71"/>
      <c r="K218" s="84">
        <f t="shared" si="31"/>
        <v>0</v>
      </c>
      <c r="L218" s="67">
        <f t="shared" si="32"/>
        <v>395088</v>
      </c>
    </row>
    <row r="219" spans="1:12" hidden="1" outlineLevel="1" x14ac:dyDescent="0.35">
      <c r="A219" s="37" t="s">
        <v>375</v>
      </c>
      <c r="B219" s="62" t="s">
        <v>376</v>
      </c>
      <c r="C219" s="54" t="s">
        <v>903</v>
      </c>
      <c r="D219" s="85"/>
      <c r="E219" s="63"/>
      <c r="F219" s="83"/>
      <c r="G219" s="64"/>
      <c r="H219" s="85"/>
      <c r="I219" s="67"/>
      <c r="J219" s="71"/>
      <c r="K219" s="84">
        <f t="shared" si="31"/>
        <v>0</v>
      </c>
      <c r="L219" s="67">
        <f t="shared" si="32"/>
        <v>0</v>
      </c>
    </row>
    <row r="220" spans="1:12" hidden="1" outlineLevel="1" x14ac:dyDescent="0.35">
      <c r="A220" s="37" t="s">
        <v>377</v>
      </c>
      <c r="B220" s="62" t="s">
        <v>378</v>
      </c>
      <c r="C220" s="54" t="s">
        <v>903</v>
      </c>
      <c r="D220" s="83"/>
      <c r="E220" s="63"/>
      <c r="F220" s="83"/>
      <c r="G220" s="64"/>
      <c r="H220" s="85"/>
      <c r="I220" s="67"/>
      <c r="J220" s="71"/>
      <c r="K220" s="84">
        <f t="shared" si="31"/>
        <v>0</v>
      </c>
      <c r="L220" s="67">
        <f t="shared" si="32"/>
        <v>0</v>
      </c>
    </row>
    <row r="221" spans="1:12" hidden="1" outlineLevel="1" x14ac:dyDescent="0.35">
      <c r="A221" s="37" t="s">
        <v>379</v>
      </c>
      <c r="B221" s="62" t="s">
        <v>380</v>
      </c>
      <c r="C221" s="54" t="s">
        <v>903</v>
      </c>
      <c r="D221" s="85"/>
      <c r="E221" s="63"/>
      <c r="F221" s="83"/>
      <c r="G221" s="64"/>
      <c r="H221" s="85"/>
      <c r="I221" s="67"/>
      <c r="J221" s="71"/>
      <c r="K221" s="84">
        <f t="shared" si="31"/>
        <v>0</v>
      </c>
      <c r="L221" s="67">
        <f t="shared" si="32"/>
        <v>0</v>
      </c>
    </row>
    <row r="222" spans="1:12" hidden="1" outlineLevel="1" x14ac:dyDescent="0.35">
      <c r="A222" s="37" t="s">
        <v>381</v>
      </c>
      <c r="B222" s="62" t="s">
        <v>382</v>
      </c>
      <c r="C222" s="54" t="s">
        <v>903</v>
      </c>
      <c r="D222" s="85"/>
      <c r="E222" s="63"/>
      <c r="F222" s="83"/>
      <c r="G222" s="64">
        <v>320</v>
      </c>
      <c r="H222" s="85"/>
      <c r="I222" s="67"/>
      <c r="J222" s="71"/>
      <c r="K222" s="84">
        <f t="shared" si="31"/>
        <v>0</v>
      </c>
      <c r="L222" s="67">
        <f t="shared" si="32"/>
        <v>320</v>
      </c>
    </row>
    <row r="223" spans="1:12" hidden="1" outlineLevel="1" x14ac:dyDescent="0.35">
      <c r="A223" s="37" t="s">
        <v>383</v>
      </c>
      <c r="B223" s="62" t="s">
        <v>384</v>
      </c>
      <c r="C223" s="54" t="s">
        <v>903</v>
      </c>
      <c r="D223" s="85">
        <v>18000</v>
      </c>
      <c r="E223" s="63"/>
      <c r="F223" s="83"/>
      <c r="G223" s="64"/>
      <c r="H223" s="85"/>
      <c r="I223" s="67"/>
      <c r="J223" s="71"/>
      <c r="K223" s="84">
        <f t="shared" si="31"/>
        <v>0</v>
      </c>
      <c r="L223" s="67">
        <f t="shared" si="32"/>
        <v>18000</v>
      </c>
    </row>
    <row r="224" spans="1:12" hidden="1" outlineLevel="1" x14ac:dyDescent="0.35">
      <c r="A224" s="37" t="s">
        <v>385</v>
      </c>
      <c r="B224" s="62" t="s">
        <v>386</v>
      </c>
      <c r="C224" s="54" t="s">
        <v>903</v>
      </c>
      <c r="D224" s="85"/>
      <c r="E224" s="63"/>
      <c r="F224" s="83"/>
      <c r="G224" s="64"/>
      <c r="H224" s="85"/>
      <c r="I224" s="67"/>
      <c r="J224" s="71"/>
      <c r="K224" s="84">
        <f t="shared" si="31"/>
        <v>0</v>
      </c>
      <c r="L224" s="67">
        <f t="shared" si="32"/>
        <v>0</v>
      </c>
    </row>
    <row r="225" spans="1:12" hidden="1" outlineLevel="1" x14ac:dyDescent="0.35">
      <c r="A225" s="37">
        <v>3078</v>
      </c>
      <c r="B225" s="62" t="s">
        <v>388</v>
      </c>
      <c r="C225" s="54" t="s">
        <v>903</v>
      </c>
      <c r="D225" s="85"/>
      <c r="E225" s="63"/>
      <c r="F225" s="83"/>
      <c r="G225" s="64"/>
      <c r="H225" s="85"/>
      <c r="I225" s="67"/>
      <c r="J225" s="71"/>
      <c r="K225" s="84">
        <f t="shared" si="31"/>
        <v>0</v>
      </c>
      <c r="L225" s="67">
        <f t="shared" si="32"/>
        <v>0</v>
      </c>
    </row>
    <row r="226" spans="1:12" hidden="1" outlineLevel="1" x14ac:dyDescent="0.35">
      <c r="A226" s="37" t="s">
        <v>389</v>
      </c>
      <c r="B226" s="62" t="s">
        <v>390</v>
      </c>
      <c r="C226" s="54" t="s">
        <v>903</v>
      </c>
      <c r="D226" s="85"/>
      <c r="E226" s="63"/>
      <c r="F226" s="83"/>
      <c r="G226" s="64"/>
      <c r="H226" s="85"/>
      <c r="I226" s="67"/>
      <c r="J226" s="71"/>
      <c r="K226" s="84">
        <f t="shared" si="31"/>
        <v>0</v>
      </c>
      <c r="L226" s="67">
        <f t="shared" si="32"/>
        <v>0</v>
      </c>
    </row>
    <row r="227" spans="1:12" hidden="1" outlineLevel="1" x14ac:dyDescent="0.35">
      <c r="A227" s="37" t="s">
        <v>908</v>
      </c>
      <c r="B227" s="74" t="s">
        <v>909</v>
      </c>
      <c r="C227" s="54" t="s">
        <v>903</v>
      </c>
      <c r="D227" s="85"/>
      <c r="E227" s="63"/>
      <c r="F227" s="83"/>
      <c r="G227" s="64"/>
      <c r="H227" s="85"/>
      <c r="I227" s="67"/>
      <c r="J227" s="71"/>
      <c r="K227" s="84">
        <f t="shared" si="31"/>
        <v>0</v>
      </c>
      <c r="L227" s="67">
        <f t="shared" si="32"/>
        <v>0</v>
      </c>
    </row>
    <row r="228" spans="1:12" hidden="1" outlineLevel="1" x14ac:dyDescent="0.35">
      <c r="A228" s="37" t="s">
        <v>391</v>
      </c>
      <c r="B228" s="62" t="s">
        <v>392</v>
      </c>
      <c r="C228" s="54" t="s">
        <v>903</v>
      </c>
      <c r="D228" s="85"/>
      <c r="E228" s="63"/>
      <c r="F228" s="83"/>
      <c r="G228" s="64"/>
      <c r="H228" s="85"/>
      <c r="I228" s="67"/>
      <c r="J228" s="71"/>
      <c r="K228" s="84">
        <f t="shared" si="31"/>
        <v>0</v>
      </c>
      <c r="L228" s="67">
        <f t="shared" si="32"/>
        <v>0</v>
      </c>
    </row>
    <row r="229" spans="1:12" hidden="1" outlineLevel="1" x14ac:dyDescent="0.35">
      <c r="A229" s="37" t="s">
        <v>393</v>
      </c>
      <c r="B229" s="62" t="s">
        <v>394</v>
      </c>
      <c r="C229" s="54" t="s">
        <v>903</v>
      </c>
      <c r="D229" s="85"/>
      <c r="E229" s="63"/>
      <c r="F229" s="83"/>
      <c r="G229" s="64">
        <v>15900</v>
      </c>
      <c r="H229" s="85"/>
      <c r="I229" s="67"/>
      <c r="J229" s="71"/>
      <c r="K229" s="84">
        <f t="shared" si="31"/>
        <v>0</v>
      </c>
      <c r="L229" s="67">
        <f t="shared" si="32"/>
        <v>15900</v>
      </c>
    </row>
    <row r="230" spans="1:12" hidden="1" outlineLevel="1" x14ac:dyDescent="0.35">
      <c r="A230" s="37" t="s">
        <v>395</v>
      </c>
      <c r="B230" s="62" t="s">
        <v>396</v>
      </c>
      <c r="C230" s="54" t="s">
        <v>903</v>
      </c>
      <c r="D230" s="85"/>
      <c r="E230" s="63"/>
      <c r="F230" s="83"/>
      <c r="G230" s="64"/>
      <c r="H230" s="85"/>
      <c r="I230" s="67"/>
      <c r="J230" s="71"/>
      <c r="K230" s="84">
        <f t="shared" si="31"/>
        <v>0</v>
      </c>
      <c r="L230" s="67">
        <f t="shared" si="32"/>
        <v>0</v>
      </c>
    </row>
    <row r="231" spans="1:12" hidden="1" outlineLevel="1" x14ac:dyDescent="0.35">
      <c r="A231" s="37" t="s">
        <v>397</v>
      </c>
      <c r="B231" s="62" t="s">
        <v>398</v>
      </c>
      <c r="C231" s="54" t="s">
        <v>903</v>
      </c>
      <c r="D231" s="85"/>
      <c r="E231" s="63"/>
      <c r="F231" s="83"/>
      <c r="G231" s="64">
        <v>60</v>
      </c>
      <c r="H231" s="85"/>
      <c r="I231" s="67"/>
      <c r="J231" s="71"/>
      <c r="K231" s="84">
        <f t="shared" si="31"/>
        <v>0</v>
      </c>
      <c r="L231" s="67">
        <f t="shared" si="32"/>
        <v>60</v>
      </c>
    </row>
    <row r="232" spans="1:12" hidden="1" outlineLevel="1" x14ac:dyDescent="0.35">
      <c r="A232" s="37" t="s">
        <v>399</v>
      </c>
      <c r="B232" s="62" t="s">
        <v>400</v>
      </c>
      <c r="C232" s="54" t="s">
        <v>903</v>
      </c>
      <c r="D232" s="85"/>
      <c r="E232" s="63"/>
      <c r="F232" s="83"/>
      <c r="G232" s="64"/>
      <c r="H232" s="85"/>
      <c r="I232" s="67"/>
      <c r="J232" s="71"/>
      <c r="K232" s="84">
        <f t="shared" si="31"/>
        <v>0</v>
      </c>
      <c r="L232" s="67">
        <f t="shared" si="32"/>
        <v>0</v>
      </c>
    </row>
    <row r="233" spans="1:12" hidden="1" outlineLevel="1" x14ac:dyDescent="0.35">
      <c r="A233" s="37" t="s">
        <v>401</v>
      </c>
      <c r="B233" s="62" t="s">
        <v>402</v>
      </c>
      <c r="C233" s="54" t="s">
        <v>903</v>
      </c>
      <c r="D233" s="85"/>
      <c r="E233" s="63"/>
      <c r="F233" s="83"/>
      <c r="G233" s="64">
        <v>531</v>
      </c>
      <c r="H233" s="85"/>
      <c r="I233" s="67"/>
      <c r="J233" s="71"/>
      <c r="K233" s="84">
        <f t="shared" si="31"/>
        <v>0</v>
      </c>
      <c r="L233" s="67">
        <f t="shared" si="32"/>
        <v>531</v>
      </c>
    </row>
    <row r="234" spans="1:12" hidden="1" outlineLevel="1" x14ac:dyDescent="0.35">
      <c r="A234" s="37" t="s">
        <v>403</v>
      </c>
      <c r="B234" s="62" t="s">
        <v>404</v>
      </c>
      <c r="C234" s="54" t="s">
        <v>903</v>
      </c>
      <c r="D234" s="85"/>
      <c r="E234" s="63"/>
      <c r="F234" s="83"/>
      <c r="G234" s="64"/>
      <c r="H234" s="85"/>
      <c r="I234" s="67"/>
      <c r="J234" s="71"/>
      <c r="K234" s="84">
        <f t="shared" si="31"/>
        <v>0</v>
      </c>
      <c r="L234" s="67">
        <f t="shared" si="32"/>
        <v>0</v>
      </c>
    </row>
    <row r="235" spans="1:12" hidden="1" outlineLevel="1" x14ac:dyDescent="0.35">
      <c r="A235" s="37" t="s">
        <v>405</v>
      </c>
      <c r="B235" s="62" t="s">
        <v>406</v>
      </c>
      <c r="C235" s="54" t="s">
        <v>903</v>
      </c>
      <c r="D235" s="85"/>
      <c r="E235" s="63"/>
      <c r="F235" s="83"/>
      <c r="G235" s="64"/>
      <c r="H235" s="85"/>
      <c r="I235" s="67"/>
      <c r="J235" s="71"/>
      <c r="K235" s="84">
        <f t="shared" si="31"/>
        <v>0</v>
      </c>
      <c r="L235" s="67">
        <f t="shared" si="32"/>
        <v>0</v>
      </c>
    </row>
    <row r="236" spans="1:12" hidden="1" outlineLevel="1" x14ac:dyDescent="0.35">
      <c r="A236" s="37" t="s">
        <v>407</v>
      </c>
      <c r="B236" s="62" t="s">
        <v>408</v>
      </c>
      <c r="C236" s="54" t="s">
        <v>903</v>
      </c>
      <c r="D236" s="85"/>
      <c r="E236" s="63"/>
      <c r="F236" s="83"/>
      <c r="G236" s="64"/>
      <c r="H236" s="85">
        <v>572645</v>
      </c>
      <c r="I236" s="67">
        <v>191680</v>
      </c>
      <c r="J236" s="71"/>
      <c r="K236" s="84">
        <f t="shared" si="31"/>
        <v>191680</v>
      </c>
      <c r="L236" s="67">
        <f t="shared" si="32"/>
        <v>764325</v>
      </c>
    </row>
    <row r="237" spans="1:12" hidden="1" outlineLevel="1" x14ac:dyDescent="0.35">
      <c r="A237" s="37" t="s">
        <v>409</v>
      </c>
      <c r="B237" s="62" t="s">
        <v>410</v>
      </c>
      <c r="C237" s="54" t="s">
        <v>903</v>
      </c>
      <c r="D237" s="85"/>
      <c r="E237" s="63"/>
      <c r="F237" s="83"/>
      <c r="G237" s="64"/>
      <c r="H237" s="85"/>
      <c r="I237" s="67"/>
      <c r="J237" s="71"/>
      <c r="K237" s="84">
        <f t="shared" si="31"/>
        <v>0</v>
      </c>
      <c r="L237" s="67">
        <f t="shared" si="32"/>
        <v>0</v>
      </c>
    </row>
    <row r="238" spans="1:12" hidden="1" outlineLevel="1" x14ac:dyDescent="0.35">
      <c r="A238" s="37" t="s">
        <v>411</v>
      </c>
      <c r="B238" s="62" t="s">
        <v>412</v>
      </c>
      <c r="C238" s="54" t="s">
        <v>903</v>
      </c>
      <c r="D238" s="85"/>
      <c r="E238" s="63"/>
      <c r="F238" s="83"/>
      <c r="G238" s="64">
        <v>2250</v>
      </c>
      <c r="H238" s="85"/>
      <c r="I238" s="67"/>
      <c r="J238" s="71"/>
      <c r="K238" s="84">
        <f t="shared" si="31"/>
        <v>0</v>
      </c>
      <c r="L238" s="67">
        <f t="shared" si="32"/>
        <v>2250</v>
      </c>
    </row>
    <row r="239" spans="1:12" hidden="1" outlineLevel="1" x14ac:dyDescent="0.35">
      <c r="A239" s="37" t="s">
        <v>413</v>
      </c>
      <c r="B239" s="62" t="s">
        <v>414</v>
      </c>
      <c r="C239" s="54" t="s">
        <v>903</v>
      </c>
      <c r="D239" s="85"/>
      <c r="E239" s="63">
        <f>1200+191360+6950</f>
        <v>199510</v>
      </c>
      <c r="F239" s="83">
        <v>415088</v>
      </c>
      <c r="G239" s="64">
        <v>614949</v>
      </c>
      <c r="H239" s="85"/>
      <c r="I239" s="67">
        <f>400+3300+2000+10000+4600</f>
        <v>20300</v>
      </c>
      <c r="J239" s="71"/>
      <c r="K239" s="84">
        <f t="shared" si="31"/>
        <v>20300</v>
      </c>
      <c r="L239" s="67">
        <f t="shared" si="32"/>
        <v>1249847</v>
      </c>
    </row>
    <row r="240" spans="1:12" hidden="1" outlineLevel="1" x14ac:dyDescent="0.35">
      <c r="A240" s="37" t="s">
        <v>415</v>
      </c>
      <c r="B240" s="62" t="s">
        <v>416</v>
      </c>
      <c r="C240" s="54" t="s">
        <v>903</v>
      </c>
      <c r="D240" s="85"/>
      <c r="E240" s="63">
        <v>20500</v>
      </c>
      <c r="F240" s="83">
        <v>224464</v>
      </c>
      <c r="G240" s="64"/>
      <c r="H240" s="85"/>
      <c r="I240" s="67">
        <f>62400+21033</f>
        <v>83433</v>
      </c>
      <c r="J240" s="71"/>
      <c r="K240" s="84">
        <f t="shared" si="31"/>
        <v>83433</v>
      </c>
      <c r="L240" s="67">
        <f t="shared" si="32"/>
        <v>328397</v>
      </c>
    </row>
    <row r="241" spans="1:12" hidden="1" outlineLevel="1" x14ac:dyDescent="0.35">
      <c r="A241" s="37" t="s">
        <v>417</v>
      </c>
      <c r="B241" s="62" t="s">
        <v>418</v>
      </c>
      <c r="C241" s="54" t="s">
        <v>903</v>
      </c>
      <c r="D241" s="85"/>
      <c r="E241" s="63"/>
      <c r="F241" s="83"/>
      <c r="G241" s="64"/>
      <c r="H241" s="85"/>
      <c r="I241" s="67"/>
      <c r="J241" s="71"/>
      <c r="K241" s="84">
        <f t="shared" si="31"/>
        <v>0</v>
      </c>
      <c r="L241" s="67">
        <f t="shared" si="32"/>
        <v>0</v>
      </c>
    </row>
    <row r="242" spans="1:12" hidden="1" outlineLevel="1" x14ac:dyDescent="0.35">
      <c r="A242" s="37" t="s">
        <v>419</v>
      </c>
      <c r="B242" s="62" t="s">
        <v>420</v>
      </c>
      <c r="C242" s="54" t="s">
        <v>903</v>
      </c>
      <c r="D242" s="85"/>
      <c r="E242" s="63"/>
      <c r="F242" s="83"/>
      <c r="G242" s="64">
        <v>20240</v>
      </c>
      <c r="H242" s="85"/>
      <c r="I242" s="67"/>
      <c r="J242" s="71"/>
      <c r="K242" s="84">
        <f t="shared" si="31"/>
        <v>0</v>
      </c>
      <c r="L242" s="67">
        <f t="shared" si="32"/>
        <v>20240</v>
      </c>
    </row>
    <row r="243" spans="1:12" hidden="1" outlineLevel="1" x14ac:dyDescent="0.35">
      <c r="A243" s="37" t="s">
        <v>912</v>
      </c>
      <c r="B243" s="62" t="s">
        <v>913</v>
      </c>
      <c r="C243" s="54" t="s">
        <v>903</v>
      </c>
      <c r="D243" s="85"/>
      <c r="E243" s="63"/>
      <c r="F243" s="83"/>
      <c r="G243" s="64"/>
      <c r="H243" s="85"/>
      <c r="I243" s="67">
        <v>62100</v>
      </c>
      <c r="J243" s="71"/>
      <c r="K243" s="84">
        <f t="shared" si="31"/>
        <v>62100</v>
      </c>
      <c r="L243" s="67">
        <f t="shared" si="32"/>
        <v>62100</v>
      </c>
    </row>
    <row r="244" spans="1:12" hidden="1" outlineLevel="1" x14ac:dyDescent="0.35">
      <c r="A244" s="37" t="s">
        <v>421</v>
      </c>
      <c r="B244" s="62" t="s">
        <v>422</v>
      </c>
      <c r="C244" s="54" t="s">
        <v>903</v>
      </c>
      <c r="D244" s="85"/>
      <c r="E244" s="63"/>
      <c r="F244" s="83"/>
      <c r="G244" s="64"/>
      <c r="H244" s="85"/>
      <c r="I244" s="67"/>
      <c r="J244" s="71"/>
      <c r="K244" s="84">
        <f t="shared" si="31"/>
        <v>0</v>
      </c>
      <c r="L244" s="67">
        <f t="shared" si="32"/>
        <v>0</v>
      </c>
    </row>
    <row r="245" spans="1:12" hidden="1" outlineLevel="1" x14ac:dyDescent="0.35">
      <c r="A245" s="37" t="s">
        <v>423</v>
      </c>
      <c r="B245" s="74" t="s">
        <v>424</v>
      </c>
      <c r="C245" s="54" t="s">
        <v>903</v>
      </c>
      <c r="D245" s="85"/>
      <c r="E245" s="63">
        <v>171758</v>
      </c>
      <c r="F245" s="83"/>
      <c r="G245" s="64"/>
      <c r="H245" s="85"/>
      <c r="I245" s="67"/>
      <c r="J245" s="71"/>
      <c r="K245" s="84">
        <f t="shared" si="31"/>
        <v>0</v>
      </c>
      <c r="L245" s="67">
        <f t="shared" si="32"/>
        <v>171758</v>
      </c>
    </row>
    <row r="246" spans="1:12" hidden="1" outlineLevel="1" x14ac:dyDescent="0.35">
      <c r="A246" s="37" t="s">
        <v>425</v>
      </c>
      <c r="B246" s="74" t="s">
        <v>426</v>
      </c>
      <c r="C246" s="54" t="s">
        <v>903</v>
      </c>
      <c r="D246" s="85"/>
      <c r="E246" s="63"/>
      <c r="F246" s="83"/>
      <c r="G246" s="64"/>
      <c r="H246" s="85"/>
      <c r="I246" s="67"/>
      <c r="J246" s="71"/>
      <c r="K246" s="84">
        <f t="shared" si="31"/>
        <v>0</v>
      </c>
      <c r="L246" s="67">
        <f t="shared" si="32"/>
        <v>0</v>
      </c>
    </row>
    <row r="247" spans="1:12" hidden="1" outlineLevel="1" x14ac:dyDescent="0.35">
      <c r="A247" s="37" t="s">
        <v>427</v>
      </c>
      <c r="B247" s="62" t="s">
        <v>428</v>
      </c>
      <c r="C247" s="54" t="s">
        <v>903</v>
      </c>
      <c r="D247" s="85"/>
      <c r="E247" s="63"/>
      <c r="F247" s="83"/>
      <c r="G247" s="64"/>
      <c r="H247" s="85"/>
      <c r="I247" s="67"/>
      <c r="J247" s="71"/>
      <c r="K247" s="84">
        <f t="shared" si="31"/>
        <v>0</v>
      </c>
      <c r="L247" s="67">
        <f t="shared" si="32"/>
        <v>0</v>
      </c>
    </row>
    <row r="248" spans="1:12" hidden="1" outlineLevel="1" x14ac:dyDescent="0.35">
      <c r="A248" s="37" t="s">
        <v>429</v>
      </c>
      <c r="B248" s="62" t="s">
        <v>430</v>
      </c>
      <c r="C248" s="54" t="s">
        <v>903</v>
      </c>
      <c r="D248" s="85"/>
      <c r="E248" s="63">
        <v>458</v>
      </c>
      <c r="F248" s="83"/>
      <c r="G248" s="64"/>
      <c r="H248" s="85">
        <v>111655</v>
      </c>
      <c r="I248" s="67"/>
      <c r="J248" s="71"/>
      <c r="K248" s="84">
        <f t="shared" si="31"/>
        <v>0</v>
      </c>
      <c r="L248" s="67">
        <f t="shared" si="32"/>
        <v>112113</v>
      </c>
    </row>
    <row r="249" spans="1:12" hidden="1" outlineLevel="1" x14ac:dyDescent="0.35">
      <c r="A249" s="37" t="s">
        <v>431</v>
      </c>
      <c r="B249" s="62" t="s">
        <v>432</v>
      </c>
      <c r="C249" s="54" t="s">
        <v>903</v>
      </c>
      <c r="D249" s="85"/>
      <c r="E249" s="63"/>
      <c r="F249" s="83"/>
      <c r="G249" s="64"/>
      <c r="H249" s="85"/>
      <c r="I249" s="67"/>
      <c r="J249" s="71"/>
      <c r="K249" s="84">
        <f t="shared" si="31"/>
        <v>0</v>
      </c>
      <c r="L249" s="67">
        <f t="shared" si="32"/>
        <v>0</v>
      </c>
    </row>
    <row r="250" spans="1:12" hidden="1" outlineLevel="1" x14ac:dyDescent="0.35">
      <c r="A250" s="37" t="s">
        <v>433</v>
      </c>
      <c r="B250" s="62" t="s">
        <v>434</v>
      </c>
      <c r="C250" s="54" t="s">
        <v>903</v>
      </c>
      <c r="D250" s="85"/>
      <c r="E250" s="63"/>
      <c r="F250" s="83"/>
      <c r="G250" s="64"/>
      <c r="H250" s="85"/>
      <c r="I250" s="67"/>
      <c r="J250" s="71"/>
      <c r="K250" s="84">
        <f t="shared" si="31"/>
        <v>0</v>
      </c>
      <c r="L250" s="67">
        <f t="shared" si="32"/>
        <v>0</v>
      </c>
    </row>
    <row r="251" spans="1:12" hidden="1" outlineLevel="1" x14ac:dyDescent="0.35">
      <c r="A251" s="37" t="s">
        <v>435</v>
      </c>
      <c r="B251" s="62" t="s">
        <v>436</v>
      </c>
      <c r="C251" s="54" t="s">
        <v>903</v>
      </c>
      <c r="D251" s="85"/>
      <c r="E251" s="63"/>
      <c r="F251" s="83"/>
      <c r="G251" s="64"/>
      <c r="H251" s="85"/>
      <c r="I251" s="67"/>
      <c r="J251" s="71"/>
      <c r="K251" s="84">
        <f t="shared" si="31"/>
        <v>0</v>
      </c>
      <c r="L251" s="67">
        <f t="shared" si="32"/>
        <v>0</v>
      </c>
    </row>
    <row r="252" spans="1:12" hidden="1" outlineLevel="1" x14ac:dyDescent="0.35">
      <c r="A252" s="37" t="s">
        <v>437</v>
      </c>
      <c r="B252" s="62" t="s">
        <v>438</v>
      </c>
      <c r="C252" s="54" t="s">
        <v>903</v>
      </c>
      <c r="D252" s="85"/>
      <c r="E252" s="63"/>
      <c r="F252" s="83"/>
      <c r="G252" s="64"/>
      <c r="H252" s="85"/>
      <c r="I252" s="67"/>
      <c r="J252" s="71"/>
      <c r="K252" s="84">
        <f t="shared" si="31"/>
        <v>0</v>
      </c>
      <c r="L252" s="67">
        <f t="shared" si="32"/>
        <v>0</v>
      </c>
    </row>
    <row r="253" spans="1:12" hidden="1" outlineLevel="1" x14ac:dyDescent="0.35">
      <c r="A253" s="37" t="s">
        <v>439</v>
      </c>
      <c r="B253" s="62" t="s">
        <v>440</v>
      </c>
      <c r="C253" s="54" t="s">
        <v>903</v>
      </c>
      <c r="D253" s="85"/>
      <c r="E253" s="63"/>
      <c r="F253" s="83"/>
      <c r="G253" s="64"/>
      <c r="H253" s="85"/>
      <c r="I253" s="67"/>
      <c r="J253" s="71"/>
      <c r="K253" s="84">
        <f t="shared" si="31"/>
        <v>0</v>
      </c>
      <c r="L253" s="67">
        <f t="shared" si="32"/>
        <v>0</v>
      </c>
    </row>
    <row r="254" spans="1:12" hidden="1" outlineLevel="1" x14ac:dyDescent="0.35">
      <c r="A254" s="37" t="s">
        <v>441</v>
      </c>
      <c r="B254" s="62" t="s">
        <v>442</v>
      </c>
      <c r="C254" s="54" t="s">
        <v>903</v>
      </c>
      <c r="D254" s="85"/>
      <c r="E254" s="63"/>
      <c r="F254" s="83"/>
      <c r="G254" s="64">
        <v>13050</v>
      </c>
      <c r="H254" s="85">
        <v>39892</v>
      </c>
      <c r="I254" s="67"/>
      <c r="J254" s="71"/>
      <c r="K254" s="84">
        <f t="shared" si="31"/>
        <v>0</v>
      </c>
      <c r="L254" s="67">
        <f t="shared" si="32"/>
        <v>52942</v>
      </c>
    </row>
    <row r="255" spans="1:12" hidden="1" outlineLevel="1" x14ac:dyDescent="0.35">
      <c r="A255" s="37" t="s">
        <v>464</v>
      </c>
      <c r="B255" s="62" t="s">
        <v>465</v>
      </c>
      <c r="C255" s="54" t="s">
        <v>903</v>
      </c>
      <c r="D255" s="85"/>
      <c r="E255" s="63"/>
      <c r="F255" s="83"/>
      <c r="G255" s="64">
        <v>1722000</v>
      </c>
      <c r="H255" s="85"/>
      <c r="I255" s="67"/>
      <c r="J255" s="71"/>
      <c r="K255" s="84">
        <f t="shared" si="31"/>
        <v>0</v>
      </c>
      <c r="L255" s="67">
        <f t="shared" si="32"/>
        <v>1722000</v>
      </c>
    </row>
    <row r="256" spans="1:12" collapsed="1" x14ac:dyDescent="0.35">
      <c r="A256" s="37"/>
      <c r="B256" s="62" t="s">
        <v>914</v>
      </c>
      <c r="C256" s="54"/>
      <c r="D256" s="85">
        <f>SUM(D257:D291)</f>
        <v>1037329.1405750799</v>
      </c>
      <c r="E256" s="65">
        <f t="shared" ref="E256:I256" si="33">SUM(E257:E291)</f>
        <v>607641.51437699678</v>
      </c>
      <c r="F256" s="85">
        <f t="shared" si="33"/>
        <v>2406091.5548455804</v>
      </c>
      <c r="G256" s="65">
        <f t="shared" si="33"/>
        <v>1809955.8271210508</v>
      </c>
      <c r="H256" s="85">
        <f t="shared" si="33"/>
        <v>3754937.9630812923</v>
      </c>
      <c r="I256" s="65">
        <f t="shared" si="33"/>
        <v>1457343</v>
      </c>
      <c r="J256" s="71">
        <f>J270+J265+J271</f>
        <v>4505497</v>
      </c>
      <c r="K256" s="84">
        <f t="shared" si="31"/>
        <v>5962840</v>
      </c>
      <c r="L256" s="67">
        <f t="shared" si="32"/>
        <v>15578796.000000002</v>
      </c>
    </row>
    <row r="257" spans="1:12" hidden="1" outlineLevel="1" x14ac:dyDescent="0.35">
      <c r="A257" s="37" t="s">
        <v>443</v>
      </c>
      <c r="B257" s="62" t="s">
        <v>444</v>
      </c>
      <c r="C257" s="54" t="s">
        <v>914</v>
      </c>
      <c r="D257" s="85">
        <v>11620</v>
      </c>
      <c r="E257" s="63">
        <f>6276+4000+40000+20000+3066+771+30000+25000</f>
        <v>129113</v>
      </c>
      <c r="F257" s="83">
        <f>958873+1252694</f>
        <v>2211567</v>
      </c>
      <c r="G257" s="64">
        <v>909307</v>
      </c>
      <c r="H257" s="85">
        <f>1842463+123400+1120783+489570</f>
        <v>3576216</v>
      </c>
      <c r="I257" s="67">
        <f>746300+410213+162196+11100+12848</f>
        <v>1342657</v>
      </c>
      <c r="J257" s="71"/>
      <c r="K257" s="84">
        <f t="shared" si="31"/>
        <v>1342657</v>
      </c>
      <c r="L257" s="67">
        <f t="shared" si="32"/>
        <v>8180480</v>
      </c>
    </row>
    <row r="258" spans="1:12" ht="15.75" hidden="1" customHeight="1" outlineLevel="1" x14ac:dyDescent="0.35">
      <c r="A258" s="48" t="s">
        <v>445</v>
      </c>
      <c r="B258" s="62" t="s">
        <v>446</v>
      </c>
      <c r="C258" s="54" t="s">
        <v>914</v>
      </c>
      <c r="D258" s="85">
        <v>220000</v>
      </c>
      <c r="E258" s="63"/>
      <c r="F258" s="83"/>
      <c r="G258" s="64"/>
      <c r="H258" s="85"/>
      <c r="I258" s="67"/>
      <c r="J258" s="71"/>
      <c r="K258" s="84">
        <f t="shared" si="31"/>
        <v>0</v>
      </c>
      <c r="L258" s="67">
        <f t="shared" si="32"/>
        <v>220000</v>
      </c>
    </row>
    <row r="259" spans="1:12" ht="15.75" hidden="1" customHeight="1" outlineLevel="1" x14ac:dyDescent="0.35">
      <c r="A259" s="37" t="s">
        <v>447</v>
      </c>
      <c r="B259" s="69" t="s">
        <v>448</v>
      </c>
      <c r="C259" s="54" t="s">
        <v>914</v>
      </c>
      <c r="D259" s="85"/>
      <c r="E259" s="63"/>
      <c r="F259" s="83">
        <v>19200</v>
      </c>
      <c r="G259" s="64">
        <v>85774</v>
      </c>
      <c r="H259" s="85">
        <v>1874</v>
      </c>
      <c r="I259" s="67"/>
      <c r="J259" s="71"/>
      <c r="K259" s="84">
        <f t="shared" si="31"/>
        <v>0</v>
      </c>
      <c r="L259" s="67">
        <f t="shared" si="32"/>
        <v>106848</v>
      </c>
    </row>
    <row r="260" spans="1:12" hidden="1" outlineLevel="1" x14ac:dyDescent="0.35">
      <c r="A260" s="37" t="s">
        <v>449</v>
      </c>
      <c r="B260" s="62" t="s">
        <v>450</v>
      </c>
      <c r="C260" s="54" t="s">
        <v>914</v>
      </c>
      <c r="D260" s="85"/>
      <c r="E260" s="63"/>
      <c r="F260" s="83"/>
      <c r="G260" s="64"/>
      <c r="H260" s="85"/>
      <c r="I260" s="67"/>
      <c r="J260" s="71"/>
      <c r="K260" s="84">
        <f t="shared" si="31"/>
        <v>0</v>
      </c>
      <c r="L260" s="67">
        <f t="shared" si="32"/>
        <v>0</v>
      </c>
    </row>
    <row r="261" spans="1:12" hidden="1" outlineLevel="1" x14ac:dyDescent="0.35">
      <c r="A261" s="37" t="s">
        <v>451</v>
      </c>
      <c r="B261" s="62" t="s">
        <v>452</v>
      </c>
      <c r="C261" s="54" t="s">
        <v>914</v>
      </c>
      <c r="D261" s="85">
        <v>9756</v>
      </c>
      <c r="E261" s="63">
        <f>12395+13751+11567</f>
        <v>37713</v>
      </c>
      <c r="F261" s="83"/>
      <c r="G261" s="64">
        <v>17161</v>
      </c>
      <c r="H261" s="85"/>
      <c r="I261" s="67"/>
      <c r="J261" s="71"/>
      <c r="K261" s="84">
        <f t="shared" si="31"/>
        <v>0</v>
      </c>
      <c r="L261" s="67">
        <f t="shared" si="32"/>
        <v>64630</v>
      </c>
    </row>
    <row r="262" spans="1:12" hidden="1" outlineLevel="1" x14ac:dyDescent="0.35">
      <c r="A262" s="37" t="s">
        <v>453</v>
      </c>
      <c r="B262" s="62" t="s">
        <v>454</v>
      </c>
      <c r="C262" s="54" t="s">
        <v>914</v>
      </c>
      <c r="D262" s="85"/>
      <c r="E262" s="63">
        <v>33854</v>
      </c>
      <c r="F262" s="83">
        <v>8459</v>
      </c>
      <c r="G262" s="64"/>
      <c r="H262" s="85"/>
      <c r="I262" s="67"/>
      <c r="J262" s="71"/>
      <c r="K262" s="84">
        <f t="shared" si="31"/>
        <v>0</v>
      </c>
      <c r="L262" s="67">
        <f t="shared" si="32"/>
        <v>42313</v>
      </c>
    </row>
    <row r="263" spans="1:12" hidden="1" outlineLevel="1" x14ac:dyDescent="0.35">
      <c r="A263" s="37" t="s">
        <v>915</v>
      </c>
      <c r="B263" s="62" t="s">
        <v>455</v>
      </c>
      <c r="C263" s="54" t="s">
        <v>914</v>
      </c>
      <c r="D263" s="85"/>
      <c r="E263" s="63"/>
      <c r="F263" s="83"/>
      <c r="G263" s="64"/>
      <c r="H263" s="85"/>
      <c r="I263" s="67"/>
      <c r="J263" s="71"/>
      <c r="K263" s="84">
        <f t="shared" si="31"/>
        <v>0</v>
      </c>
      <c r="L263" s="67">
        <f t="shared" si="32"/>
        <v>0</v>
      </c>
    </row>
    <row r="264" spans="1:12" hidden="1" outlineLevel="1" x14ac:dyDescent="0.35">
      <c r="A264" s="37" t="s">
        <v>456</v>
      </c>
      <c r="B264" s="62" t="s">
        <v>457</v>
      </c>
      <c r="C264" s="54" t="s">
        <v>914</v>
      </c>
      <c r="D264" s="85"/>
      <c r="E264" s="63"/>
      <c r="F264" s="83"/>
      <c r="G264" s="64"/>
      <c r="H264" s="85"/>
      <c r="I264" s="67"/>
      <c r="J264" s="71"/>
      <c r="K264" s="84">
        <f t="shared" si="31"/>
        <v>0</v>
      </c>
      <c r="L264" s="67">
        <f t="shared" si="32"/>
        <v>0</v>
      </c>
    </row>
    <row r="265" spans="1:12" hidden="1" outlineLevel="1" x14ac:dyDescent="0.35">
      <c r="A265" s="37"/>
      <c r="B265" s="117" t="s">
        <v>1302</v>
      </c>
      <c r="C265" s="118"/>
      <c r="D265" s="119"/>
      <c r="E265" s="119"/>
      <c r="F265" s="119">
        <v>-722996</v>
      </c>
      <c r="G265" s="119">
        <f>-1160-30000-72996-74563-99639</f>
        <v>-278358</v>
      </c>
      <c r="H265" s="119">
        <f>-267064</f>
        <v>-267064</v>
      </c>
      <c r="I265" s="120">
        <v>0</v>
      </c>
      <c r="J265" s="128">
        <f>-(F265+G265+H265)</f>
        <v>1268418</v>
      </c>
      <c r="K265" s="133">
        <f>+J265+I265</f>
        <v>1268418</v>
      </c>
      <c r="L265" s="129">
        <f>+K265+H265+G265+F265+E265+D265</f>
        <v>0</v>
      </c>
    </row>
    <row r="266" spans="1:12" hidden="1" outlineLevel="1" x14ac:dyDescent="0.35">
      <c r="A266" s="37"/>
      <c r="B266" s="117" t="s">
        <v>1303</v>
      </c>
      <c r="C266" s="118"/>
      <c r="D266" s="119"/>
      <c r="E266" s="121"/>
      <c r="F266" s="122"/>
      <c r="G266" s="123"/>
      <c r="H266" s="173"/>
      <c r="I266" s="124">
        <v>0</v>
      </c>
      <c r="J266" s="128"/>
      <c r="K266" s="133">
        <f>+J266+I266</f>
        <v>0</v>
      </c>
      <c r="L266" s="129">
        <f>+K266+H266+G266+F266+E266+D266</f>
        <v>0</v>
      </c>
    </row>
    <row r="267" spans="1:12" hidden="1" outlineLevel="1" x14ac:dyDescent="0.35">
      <c r="A267" s="37" t="s">
        <v>458</v>
      </c>
      <c r="B267" s="62" t="s">
        <v>459</v>
      </c>
      <c r="C267" s="54" t="s">
        <v>914</v>
      </c>
      <c r="D267" s="85">
        <v>236969</v>
      </c>
      <c r="E267" s="63">
        <v>548421</v>
      </c>
      <c r="F267" s="83">
        <v>2223585</v>
      </c>
      <c r="G267" s="64">
        <v>1478619</v>
      </c>
      <c r="H267" s="85">
        <v>1183819</v>
      </c>
      <c r="I267" s="67"/>
      <c r="J267" s="71"/>
      <c r="K267" s="84">
        <f t="shared" ref="K267:K332" si="34">J267+I267</f>
        <v>0</v>
      </c>
      <c r="L267" s="67">
        <f t="shared" ref="L267:L332" si="35">K267+D267+E267+F267+G267+H267</f>
        <v>5671413</v>
      </c>
    </row>
    <row r="268" spans="1:12" hidden="1" outlineLevel="1" x14ac:dyDescent="0.35">
      <c r="A268" s="37" t="s">
        <v>460</v>
      </c>
      <c r="B268" s="62" t="s">
        <v>461</v>
      </c>
      <c r="C268" s="54" t="s">
        <v>914</v>
      </c>
      <c r="D268" s="85"/>
      <c r="E268" s="63"/>
      <c r="F268" s="83"/>
      <c r="G268" s="64"/>
      <c r="H268" s="85"/>
      <c r="I268" s="67"/>
      <c r="J268" s="71"/>
      <c r="K268" s="84">
        <f t="shared" si="34"/>
        <v>0</v>
      </c>
      <c r="L268" s="67">
        <f t="shared" si="35"/>
        <v>0</v>
      </c>
    </row>
    <row r="269" spans="1:12" hidden="1" outlineLevel="1" x14ac:dyDescent="0.35">
      <c r="A269" s="37" t="s">
        <v>462</v>
      </c>
      <c r="B269" s="62" t="s">
        <v>916</v>
      </c>
      <c r="C269" s="54" t="s">
        <v>914</v>
      </c>
      <c r="D269" s="85"/>
      <c r="E269" s="75"/>
      <c r="F269" s="83"/>
      <c r="G269" s="64"/>
      <c r="H269" s="85"/>
      <c r="I269" s="67"/>
      <c r="J269" s="71"/>
      <c r="K269" s="84">
        <f t="shared" si="34"/>
        <v>0</v>
      </c>
      <c r="L269" s="67">
        <f t="shared" si="35"/>
        <v>0</v>
      </c>
    </row>
    <row r="270" spans="1:12" hidden="1" outlineLevel="1" x14ac:dyDescent="0.35">
      <c r="A270" s="37"/>
      <c r="B270" s="117" t="s">
        <v>1295</v>
      </c>
      <c r="C270" s="118"/>
      <c r="D270" s="119">
        <f>-D267</f>
        <v>-236969</v>
      </c>
      <c r="E270" s="119">
        <f>-E267</f>
        <v>-548421</v>
      </c>
      <c r="F270" s="119">
        <f>-F267</f>
        <v>-2223585</v>
      </c>
      <c r="G270" s="119">
        <f>-G267+G405</f>
        <v>-1094285</v>
      </c>
      <c r="H270" s="119">
        <f>-H267</f>
        <v>-1183819</v>
      </c>
      <c r="I270" s="120">
        <v>0</v>
      </c>
      <c r="J270" s="128">
        <f>-(H270+G270+F270+E270+D270)</f>
        <v>5287079</v>
      </c>
      <c r="K270" s="133">
        <f>+J270+I270</f>
        <v>5287079</v>
      </c>
      <c r="L270" s="129">
        <f>+K270+H270+G270+F270+E270+D270</f>
        <v>0</v>
      </c>
    </row>
    <row r="271" spans="1:12" hidden="1" outlineLevel="1" x14ac:dyDescent="0.35">
      <c r="A271" s="37"/>
      <c r="B271" s="117" t="s">
        <v>1304</v>
      </c>
      <c r="C271" s="118"/>
      <c r="D271" s="119">
        <f>-J271*Medlemmer!B10</f>
        <v>107412.14057507987</v>
      </c>
      <c r="E271" s="121">
        <f>-J271*Medlemmer!C10</f>
        <v>225303.51437699681</v>
      </c>
      <c r="F271" s="122">
        <f>-J271*Medlemmer!D10</f>
        <v>889861.55484558037</v>
      </c>
      <c r="G271" s="123">
        <f>-J271*Medlemmer!E10</f>
        <v>383510.8271210508</v>
      </c>
      <c r="H271" s="119">
        <f>-J271*Medlemmer!F10</f>
        <v>443911.96308129217</v>
      </c>
      <c r="I271" s="124">
        <v>0</v>
      </c>
      <c r="J271" s="128">
        <v>-2050000</v>
      </c>
      <c r="K271" s="133"/>
      <c r="L271" s="129">
        <f>+K271+H271+G271+F271+E271+D271</f>
        <v>2050000</v>
      </c>
    </row>
    <row r="272" spans="1:12" hidden="1" outlineLevel="1" x14ac:dyDescent="0.35">
      <c r="A272" s="37" t="s">
        <v>466</v>
      </c>
      <c r="B272" s="62" t="s">
        <v>467</v>
      </c>
      <c r="C272" s="54" t="s">
        <v>914</v>
      </c>
      <c r="D272" s="85"/>
      <c r="E272" s="63">
        <v>118274</v>
      </c>
      <c r="F272" s="83"/>
      <c r="G272" s="64">
        <v>19250</v>
      </c>
      <c r="H272" s="85"/>
      <c r="I272" s="67"/>
      <c r="J272" s="71"/>
      <c r="K272" s="84">
        <f t="shared" si="34"/>
        <v>0</v>
      </c>
      <c r="L272" s="67">
        <f t="shared" si="35"/>
        <v>137524</v>
      </c>
    </row>
    <row r="273" spans="1:12" hidden="1" outlineLevel="1" x14ac:dyDescent="0.35">
      <c r="A273" s="37" t="s">
        <v>468</v>
      </c>
      <c r="B273" s="62" t="s">
        <v>469</v>
      </c>
      <c r="C273" s="54" t="s">
        <v>914</v>
      </c>
      <c r="D273" s="85">
        <v>4276</v>
      </c>
      <c r="E273" s="63"/>
      <c r="F273" s="83"/>
      <c r="G273" s="64">
        <v>2600</v>
      </c>
      <c r="H273" s="85"/>
      <c r="I273" s="67"/>
      <c r="J273" s="71"/>
      <c r="K273" s="84">
        <f t="shared" si="34"/>
        <v>0</v>
      </c>
      <c r="L273" s="67">
        <f t="shared" si="35"/>
        <v>6876</v>
      </c>
    </row>
    <row r="274" spans="1:12" hidden="1" outlineLevel="1" x14ac:dyDescent="0.35">
      <c r="A274" s="37" t="s">
        <v>470</v>
      </c>
      <c r="B274" s="62" t="s">
        <v>471</v>
      </c>
      <c r="C274" s="54" t="s">
        <v>914</v>
      </c>
      <c r="D274" s="85"/>
      <c r="E274" s="63"/>
      <c r="F274" s="83"/>
      <c r="G274" s="64"/>
      <c r="H274" s="85"/>
      <c r="I274" s="67"/>
      <c r="J274" s="71"/>
      <c r="K274" s="84">
        <f t="shared" si="34"/>
        <v>0</v>
      </c>
      <c r="L274" s="67">
        <f t="shared" si="35"/>
        <v>0</v>
      </c>
    </row>
    <row r="275" spans="1:12" hidden="1" outlineLevel="1" x14ac:dyDescent="0.35">
      <c r="A275" s="37" t="s">
        <v>472</v>
      </c>
      <c r="B275" s="62" t="s">
        <v>473</v>
      </c>
      <c r="C275" s="54" t="s">
        <v>914</v>
      </c>
      <c r="D275" s="85"/>
      <c r="E275" s="63"/>
      <c r="F275" s="83"/>
      <c r="G275" s="64"/>
      <c r="H275" s="85"/>
      <c r="I275" s="67"/>
      <c r="J275" s="71"/>
      <c r="K275" s="84">
        <f t="shared" si="34"/>
        <v>0</v>
      </c>
      <c r="L275" s="67">
        <f t="shared" si="35"/>
        <v>0</v>
      </c>
    </row>
    <row r="276" spans="1:12" hidden="1" outlineLevel="1" x14ac:dyDescent="0.35">
      <c r="A276" s="37" t="s">
        <v>474</v>
      </c>
      <c r="B276" s="62" t="s">
        <v>475</v>
      </c>
      <c r="C276" s="54" t="s">
        <v>914</v>
      </c>
      <c r="D276" s="85"/>
      <c r="E276" s="63"/>
      <c r="F276" s="83"/>
      <c r="G276" s="64"/>
      <c r="H276" s="85"/>
      <c r="I276" s="67"/>
      <c r="J276" s="71"/>
      <c r="K276" s="84">
        <f t="shared" si="34"/>
        <v>0</v>
      </c>
      <c r="L276" s="67">
        <f t="shared" si="35"/>
        <v>0</v>
      </c>
    </row>
    <row r="277" spans="1:12" hidden="1" outlineLevel="1" x14ac:dyDescent="0.35">
      <c r="A277" s="37" t="s">
        <v>476</v>
      </c>
      <c r="B277" s="62" t="s">
        <v>477</v>
      </c>
      <c r="C277" s="54" t="s">
        <v>914</v>
      </c>
      <c r="D277" s="85"/>
      <c r="E277" s="63"/>
      <c r="F277" s="83"/>
      <c r="G277" s="64"/>
      <c r="H277" s="85"/>
      <c r="I277" s="67"/>
      <c r="J277" s="71"/>
      <c r="K277" s="84">
        <f t="shared" si="34"/>
        <v>0</v>
      </c>
      <c r="L277" s="67">
        <f t="shared" si="35"/>
        <v>0</v>
      </c>
    </row>
    <row r="278" spans="1:12" hidden="1" outlineLevel="1" x14ac:dyDescent="0.35">
      <c r="A278" s="37" t="s">
        <v>478</v>
      </c>
      <c r="B278" s="62" t="s">
        <v>479</v>
      </c>
      <c r="C278" s="54" t="s">
        <v>914</v>
      </c>
      <c r="D278" s="85">
        <v>684265</v>
      </c>
      <c r="E278" s="63">
        <v>63384</v>
      </c>
      <c r="F278" s="83"/>
      <c r="G278" s="64">
        <v>285577</v>
      </c>
      <c r="H278" s="85"/>
      <c r="I278" s="67">
        <v>114686</v>
      </c>
      <c r="J278" s="71"/>
      <c r="K278" s="84">
        <f t="shared" si="34"/>
        <v>114686</v>
      </c>
      <c r="L278" s="67">
        <f t="shared" si="35"/>
        <v>1147912</v>
      </c>
    </row>
    <row r="279" spans="1:12" hidden="1" outlineLevel="1" x14ac:dyDescent="0.35">
      <c r="A279" s="37" t="s">
        <v>480</v>
      </c>
      <c r="B279" s="62" t="s">
        <v>481</v>
      </c>
      <c r="C279" s="54" t="s">
        <v>914</v>
      </c>
      <c r="D279" s="85"/>
      <c r="E279" s="63"/>
      <c r="F279" s="83"/>
      <c r="G279" s="64"/>
      <c r="H279" s="85"/>
      <c r="I279" s="67"/>
      <c r="J279" s="71"/>
      <c r="K279" s="84">
        <f t="shared" si="34"/>
        <v>0</v>
      </c>
      <c r="L279" s="67">
        <f t="shared" si="35"/>
        <v>0</v>
      </c>
    </row>
    <row r="280" spans="1:12" hidden="1" outlineLevel="1" x14ac:dyDescent="0.35">
      <c r="A280" s="37" t="s">
        <v>482</v>
      </c>
      <c r="B280" s="62" t="s">
        <v>483</v>
      </c>
      <c r="C280" s="54" t="s">
        <v>914</v>
      </c>
      <c r="D280" s="85"/>
      <c r="E280" s="63"/>
      <c r="F280" s="83"/>
      <c r="G280" s="64"/>
      <c r="H280" s="85"/>
      <c r="I280" s="67"/>
      <c r="J280" s="71"/>
      <c r="K280" s="84">
        <f t="shared" si="34"/>
        <v>0</v>
      </c>
      <c r="L280" s="67">
        <f t="shared" si="35"/>
        <v>0</v>
      </c>
    </row>
    <row r="281" spans="1:12" hidden="1" outlineLevel="1" x14ac:dyDescent="0.35">
      <c r="A281" s="37" t="s">
        <v>484</v>
      </c>
      <c r="B281" s="62" t="s">
        <v>485</v>
      </c>
      <c r="C281" s="54" t="s">
        <v>914</v>
      </c>
      <c r="D281" s="85"/>
      <c r="E281" s="63"/>
      <c r="F281" s="83"/>
      <c r="G281" s="64">
        <v>800</v>
      </c>
      <c r="H281" s="85"/>
      <c r="I281" s="67"/>
      <c r="J281" s="71"/>
      <c r="K281" s="84">
        <f t="shared" si="34"/>
        <v>0</v>
      </c>
      <c r="L281" s="67">
        <f t="shared" si="35"/>
        <v>800</v>
      </c>
    </row>
    <row r="282" spans="1:12" hidden="1" outlineLevel="1" x14ac:dyDescent="0.35">
      <c r="A282" s="37" t="s">
        <v>486</v>
      </c>
      <c r="B282" s="62" t="s">
        <v>487</v>
      </c>
      <c r="C282" s="54" t="s">
        <v>914</v>
      </c>
      <c r="D282" s="85"/>
      <c r="E282" s="63"/>
      <c r="F282" s="83"/>
      <c r="G282" s="64"/>
      <c r="H282" s="85"/>
      <c r="I282" s="67"/>
      <c r="J282" s="71"/>
      <c r="K282" s="84">
        <f t="shared" si="34"/>
        <v>0</v>
      </c>
      <c r="L282" s="67">
        <f t="shared" si="35"/>
        <v>0</v>
      </c>
    </row>
    <row r="283" spans="1:12" hidden="1" outlineLevel="1" x14ac:dyDescent="0.35">
      <c r="A283" s="37" t="s">
        <v>488</v>
      </c>
      <c r="B283" s="62" t="s">
        <v>489</v>
      </c>
      <c r="C283" s="54" t="s">
        <v>914</v>
      </c>
      <c r="D283" s="85"/>
      <c r="E283" s="63"/>
      <c r="F283" s="83"/>
      <c r="G283" s="64"/>
      <c r="H283" s="85"/>
      <c r="I283" s="67"/>
      <c r="J283" s="71"/>
      <c r="K283" s="84">
        <f t="shared" si="34"/>
        <v>0</v>
      </c>
      <c r="L283" s="67">
        <f t="shared" si="35"/>
        <v>0</v>
      </c>
    </row>
    <row r="284" spans="1:12" hidden="1" outlineLevel="1" x14ac:dyDescent="0.35">
      <c r="A284" s="37" t="s">
        <v>490</v>
      </c>
      <c r="B284" s="62" t="s">
        <v>491</v>
      </c>
      <c r="C284" s="54" t="s">
        <v>914</v>
      </c>
      <c r="D284" s="85"/>
      <c r="E284" s="63"/>
      <c r="F284" s="83"/>
      <c r="G284" s="64"/>
      <c r="H284" s="85"/>
      <c r="I284" s="67"/>
      <c r="J284" s="71"/>
      <c r="K284" s="84">
        <f t="shared" si="34"/>
        <v>0</v>
      </c>
      <c r="L284" s="67">
        <f t="shared" si="35"/>
        <v>0</v>
      </c>
    </row>
    <row r="285" spans="1:12" hidden="1" outlineLevel="1" x14ac:dyDescent="0.35">
      <c r="A285" s="37" t="s">
        <v>492</v>
      </c>
      <c r="B285" s="62" t="s">
        <v>493</v>
      </c>
      <c r="C285" s="54" t="s">
        <v>914</v>
      </c>
      <c r="D285" s="85"/>
      <c r="E285" s="63"/>
      <c r="F285" s="83"/>
      <c r="G285" s="64"/>
      <c r="H285" s="85"/>
      <c r="I285" s="67"/>
      <c r="J285" s="71"/>
      <c r="K285" s="84">
        <f t="shared" si="34"/>
        <v>0</v>
      </c>
      <c r="L285" s="67">
        <f t="shared" si="35"/>
        <v>0</v>
      </c>
    </row>
    <row r="286" spans="1:12" hidden="1" outlineLevel="1" x14ac:dyDescent="0.35">
      <c r="A286" s="37" t="s">
        <v>917</v>
      </c>
      <c r="B286" s="62" t="s">
        <v>918</v>
      </c>
      <c r="C286" s="54" t="s">
        <v>914</v>
      </c>
      <c r="D286" s="85"/>
      <c r="E286" s="63"/>
      <c r="F286" s="83"/>
      <c r="G286" s="64"/>
      <c r="H286" s="85"/>
      <c r="I286" s="67"/>
      <c r="J286" s="71"/>
      <c r="K286" s="84">
        <f t="shared" si="34"/>
        <v>0</v>
      </c>
      <c r="L286" s="67">
        <f t="shared" si="35"/>
        <v>0</v>
      </c>
    </row>
    <row r="287" spans="1:12" hidden="1" outlineLevel="1" x14ac:dyDescent="0.35">
      <c r="A287" s="37" t="s">
        <v>494</v>
      </c>
      <c r="B287" s="62" t="s">
        <v>495</v>
      </c>
      <c r="C287" s="54" t="s">
        <v>914</v>
      </c>
      <c r="D287" s="85"/>
      <c r="E287" s="63"/>
      <c r="F287" s="83"/>
      <c r="G287" s="64"/>
      <c r="H287" s="85"/>
      <c r="I287" s="67"/>
      <c r="J287" s="71"/>
      <c r="K287" s="84">
        <f t="shared" si="34"/>
        <v>0</v>
      </c>
      <c r="L287" s="67">
        <f t="shared" si="35"/>
        <v>0</v>
      </c>
    </row>
    <row r="288" spans="1:12" hidden="1" outlineLevel="1" x14ac:dyDescent="0.35">
      <c r="A288" s="37" t="s">
        <v>496</v>
      </c>
      <c r="B288" s="62" t="s">
        <v>497</v>
      </c>
      <c r="C288" s="54" t="s">
        <v>914</v>
      </c>
      <c r="D288" s="85"/>
      <c r="E288" s="63"/>
      <c r="F288" s="83"/>
      <c r="G288" s="64"/>
      <c r="H288" s="85"/>
      <c r="I288" s="67"/>
      <c r="J288" s="71"/>
      <c r="K288" s="84">
        <f t="shared" si="34"/>
        <v>0</v>
      </c>
      <c r="L288" s="67">
        <f t="shared" si="35"/>
        <v>0</v>
      </c>
    </row>
    <row r="289" spans="1:12" hidden="1" outlineLevel="1" x14ac:dyDescent="0.35">
      <c r="A289" s="37" t="s">
        <v>498</v>
      </c>
      <c r="B289" s="62" t="s">
        <v>499</v>
      </c>
      <c r="C289" s="54" t="s">
        <v>914</v>
      </c>
      <c r="D289" s="85"/>
      <c r="E289" s="63"/>
      <c r="F289" s="83"/>
      <c r="G289" s="64"/>
      <c r="H289" s="85"/>
      <c r="I289" s="67"/>
      <c r="J289" s="71"/>
      <c r="K289" s="84">
        <f t="shared" si="34"/>
        <v>0</v>
      </c>
      <c r="L289" s="67">
        <f t="shared" si="35"/>
        <v>0</v>
      </c>
    </row>
    <row r="290" spans="1:12" hidden="1" outlineLevel="1" x14ac:dyDescent="0.35">
      <c r="A290" s="37" t="s">
        <v>500</v>
      </c>
      <c r="B290" s="62" t="s">
        <v>501</v>
      </c>
      <c r="C290" s="54" t="s">
        <v>914</v>
      </c>
      <c r="D290" s="85"/>
      <c r="E290" s="63"/>
      <c r="F290" s="83"/>
      <c r="G290" s="64"/>
      <c r="H290" s="85"/>
      <c r="I290" s="67"/>
      <c r="J290" s="71"/>
      <c r="K290" s="84">
        <f t="shared" si="34"/>
        <v>0</v>
      </c>
      <c r="L290" s="67">
        <f t="shared" si="35"/>
        <v>0</v>
      </c>
    </row>
    <row r="291" spans="1:12" hidden="1" outlineLevel="1" x14ac:dyDescent="0.35">
      <c r="A291" s="37" t="s">
        <v>502</v>
      </c>
      <c r="B291" s="62" t="s">
        <v>503</v>
      </c>
      <c r="C291" s="54" t="s">
        <v>914</v>
      </c>
      <c r="D291" s="85"/>
      <c r="E291" s="63"/>
      <c r="F291" s="83"/>
      <c r="G291" s="64"/>
      <c r="H291" s="85"/>
      <c r="I291" s="67"/>
      <c r="J291" s="71"/>
      <c r="K291" s="84">
        <f t="shared" si="34"/>
        <v>0</v>
      </c>
      <c r="L291" s="67">
        <f t="shared" si="35"/>
        <v>0</v>
      </c>
    </row>
    <row r="292" spans="1:12" s="12" customFormat="1" x14ac:dyDescent="0.35">
      <c r="A292" s="52"/>
      <c r="B292" s="72" t="s">
        <v>1289</v>
      </c>
      <c r="C292" s="53"/>
      <c r="D292" s="88">
        <f>D194+D256</f>
        <v>1090209.1405750799</v>
      </c>
      <c r="E292" s="76">
        <f t="shared" ref="E292:K292" si="36">E194+E256</f>
        <v>999867.51437699678</v>
      </c>
      <c r="F292" s="88">
        <f t="shared" si="36"/>
        <v>3501580.5548455804</v>
      </c>
      <c r="G292" s="76">
        <f t="shared" si="36"/>
        <v>4366131.827121051</v>
      </c>
      <c r="H292" s="88">
        <f t="shared" si="36"/>
        <v>4819691.9630812928</v>
      </c>
      <c r="I292" s="76">
        <f t="shared" si="36"/>
        <v>1814856</v>
      </c>
      <c r="J292" s="88"/>
      <c r="K292" s="76">
        <f t="shared" si="36"/>
        <v>6320353</v>
      </c>
      <c r="L292" s="154">
        <f>K292+D292+E292+F292+G292+H292</f>
        <v>21097834</v>
      </c>
    </row>
    <row r="293" spans="1:12" collapsed="1" x14ac:dyDescent="0.35">
      <c r="A293" s="37"/>
      <c r="B293" s="69" t="s">
        <v>920</v>
      </c>
      <c r="C293" s="54"/>
      <c r="D293" s="85">
        <f>SUM(D294:D337)</f>
        <v>39891</v>
      </c>
      <c r="E293" s="65">
        <f t="shared" ref="E293:I293" si="37">SUM(E294:E337)</f>
        <v>397960</v>
      </c>
      <c r="F293" s="85">
        <f t="shared" si="37"/>
        <v>757219</v>
      </c>
      <c r="G293" s="65">
        <f t="shared" si="37"/>
        <v>499271</v>
      </c>
      <c r="H293" s="85">
        <f>SUM(H294:H337)</f>
        <v>399331</v>
      </c>
      <c r="I293" s="65">
        <f t="shared" si="37"/>
        <v>780842</v>
      </c>
      <c r="J293" s="71"/>
      <c r="K293" s="84">
        <f t="shared" si="34"/>
        <v>780842</v>
      </c>
      <c r="L293" s="67">
        <f t="shared" si="35"/>
        <v>2874514</v>
      </c>
    </row>
    <row r="294" spans="1:12" hidden="1" outlineLevel="1" x14ac:dyDescent="0.35">
      <c r="A294" s="37" t="s">
        <v>504</v>
      </c>
      <c r="B294" s="62" t="s">
        <v>505</v>
      </c>
      <c r="C294" s="54" t="s">
        <v>920</v>
      </c>
      <c r="D294" s="85"/>
      <c r="E294" s="63">
        <v>26616</v>
      </c>
      <c r="F294" s="83">
        <v>22668</v>
      </c>
      <c r="G294" s="64">
        <v>6541</v>
      </c>
      <c r="H294" s="85"/>
      <c r="I294" s="67"/>
      <c r="J294" s="71"/>
      <c r="K294" s="84">
        <f t="shared" si="34"/>
        <v>0</v>
      </c>
      <c r="L294" s="67">
        <f t="shared" si="35"/>
        <v>55825</v>
      </c>
    </row>
    <row r="295" spans="1:12" hidden="1" outlineLevel="1" x14ac:dyDescent="0.35">
      <c r="A295" s="37" t="s">
        <v>506</v>
      </c>
      <c r="B295" s="69" t="s">
        <v>921</v>
      </c>
      <c r="C295" s="54" t="s">
        <v>920</v>
      </c>
      <c r="D295" s="85"/>
      <c r="E295" s="63"/>
      <c r="F295" s="83"/>
      <c r="G295" s="64">
        <v>318</v>
      </c>
      <c r="H295" s="85"/>
      <c r="I295" s="67"/>
      <c r="J295" s="71"/>
      <c r="K295" s="84">
        <f t="shared" si="34"/>
        <v>0</v>
      </c>
      <c r="L295" s="67">
        <f t="shared" si="35"/>
        <v>318</v>
      </c>
    </row>
    <row r="296" spans="1:12" hidden="1" outlineLevel="1" x14ac:dyDescent="0.35">
      <c r="A296" s="37" t="s">
        <v>508</v>
      </c>
      <c r="B296" s="62" t="s">
        <v>335</v>
      </c>
      <c r="C296" s="54" t="s">
        <v>920</v>
      </c>
      <c r="D296" s="85"/>
      <c r="E296" s="63"/>
      <c r="F296" s="83"/>
      <c r="G296" s="64"/>
      <c r="H296" s="85"/>
      <c r="I296" s="67"/>
      <c r="J296" s="71"/>
      <c r="K296" s="84">
        <f t="shared" si="34"/>
        <v>0</v>
      </c>
      <c r="L296" s="67">
        <f t="shared" si="35"/>
        <v>0</v>
      </c>
    </row>
    <row r="297" spans="1:12" hidden="1" outlineLevel="1" x14ac:dyDescent="0.35">
      <c r="A297" s="37" t="s">
        <v>509</v>
      </c>
      <c r="B297" s="62" t="s">
        <v>337</v>
      </c>
      <c r="C297" s="54" t="s">
        <v>920</v>
      </c>
      <c r="D297" s="85"/>
      <c r="E297" s="63"/>
      <c r="F297" s="83"/>
      <c r="G297" s="64"/>
      <c r="H297" s="85"/>
      <c r="I297" s="67"/>
      <c r="J297" s="71"/>
      <c r="K297" s="84">
        <f t="shared" si="34"/>
        <v>0</v>
      </c>
      <c r="L297" s="67">
        <f t="shared" si="35"/>
        <v>0</v>
      </c>
    </row>
    <row r="298" spans="1:12" hidden="1" outlineLevel="1" x14ac:dyDescent="0.35">
      <c r="A298" s="37" t="s">
        <v>510</v>
      </c>
      <c r="B298" s="62" t="s">
        <v>341</v>
      </c>
      <c r="C298" s="54" t="s">
        <v>920</v>
      </c>
      <c r="D298" s="85"/>
      <c r="E298" s="63"/>
      <c r="F298" s="83"/>
      <c r="G298" s="64"/>
      <c r="H298" s="85"/>
      <c r="I298" s="67"/>
      <c r="J298" s="71"/>
      <c r="K298" s="84">
        <f t="shared" si="34"/>
        <v>0</v>
      </c>
      <c r="L298" s="67">
        <f t="shared" si="35"/>
        <v>0</v>
      </c>
    </row>
    <row r="299" spans="1:12" hidden="1" outlineLevel="1" x14ac:dyDescent="0.35">
      <c r="A299" s="37" t="s">
        <v>511</v>
      </c>
      <c r="B299" s="62" t="s">
        <v>345</v>
      </c>
      <c r="C299" s="54" t="s">
        <v>920</v>
      </c>
      <c r="D299" s="85"/>
      <c r="E299" s="63"/>
      <c r="F299" s="83"/>
      <c r="G299" s="64"/>
      <c r="H299" s="85"/>
      <c r="I299" s="67"/>
      <c r="J299" s="71"/>
      <c r="K299" s="84">
        <f t="shared" si="34"/>
        <v>0</v>
      </c>
      <c r="L299" s="67">
        <f t="shared" si="35"/>
        <v>0</v>
      </c>
    </row>
    <row r="300" spans="1:12" hidden="1" outlineLevel="1" x14ac:dyDescent="0.35">
      <c r="A300" s="37" t="s">
        <v>512</v>
      </c>
      <c r="B300" s="62" t="s">
        <v>347</v>
      </c>
      <c r="C300" s="54" t="s">
        <v>920</v>
      </c>
      <c r="D300" s="85"/>
      <c r="E300" s="63"/>
      <c r="F300" s="83"/>
      <c r="G300" s="64"/>
      <c r="H300" s="85"/>
      <c r="I300" s="67"/>
      <c r="J300" s="71"/>
      <c r="K300" s="84">
        <f t="shared" si="34"/>
        <v>0</v>
      </c>
      <c r="L300" s="67">
        <f t="shared" si="35"/>
        <v>0</v>
      </c>
    </row>
    <row r="301" spans="1:12" hidden="1" outlineLevel="1" x14ac:dyDescent="0.35">
      <c r="A301" s="37" t="s">
        <v>513</v>
      </c>
      <c r="B301" s="62" t="s">
        <v>349</v>
      </c>
      <c r="C301" s="54" t="s">
        <v>920</v>
      </c>
      <c r="D301" s="85"/>
      <c r="E301" s="63"/>
      <c r="F301" s="83"/>
      <c r="G301" s="64"/>
      <c r="H301" s="85"/>
      <c r="I301" s="67"/>
      <c r="J301" s="71"/>
      <c r="K301" s="84">
        <f t="shared" si="34"/>
        <v>0</v>
      </c>
      <c r="L301" s="67">
        <f t="shared" si="35"/>
        <v>0</v>
      </c>
    </row>
    <row r="302" spans="1:12" hidden="1" outlineLevel="1" x14ac:dyDescent="0.35">
      <c r="A302" s="37" t="s">
        <v>514</v>
      </c>
      <c r="B302" s="62" t="s">
        <v>515</v>
      </c>
      <c r="C302" s="54" t="s">
        <v>920</v>
      </c>
      <c r="D302" s="85"/>
      <c r="E302" s="63"/>
      <c r="F302" s="83"/>
      <c r="G302" s="64"/>
      <c r="H302" s="85"/>
      <c r="I302" s="67"/>
      <c r="J302" s="71"/>
      <c r="K302" s="84">
        <f t="shared" si="34"/>
        <v>0</v>
      </c>
      <c r="L302" s="67">
        <f t="shared" si="35"/>
        <v>0</v>
      </c>
    </row>
    <row r="303" spans="1:12" hidden="1" outlineLevel="1" x14ac:dyDescent="0.35">
      <c r="A303" s="37" t="s">
        <v>516</v>
      </c>
      <c r="B303" s="62" t="s">
        <v>517</v>
      </c>
      <c r="C303" s="54" t="s">
        <v>920</v>
      </c>
      <c r="D303" s="85"/>
      <c r="E303" s="63"/>
      <c r="F303" s="83"/>
      <c r="G303" s="64"/>
      <c r="H303" s="85"/>
      <c r="I303" s="67"/>
      <c r="J303" s="71"/>
      <c r="K303" s="84">
        <f t="shared" si="34"/>
        <v>0</v>
      </c>
      <c r="L303" s="67">
        <f t="shared" si="35"/>
        <v>0</v>
      </c>
    </row>
    <row r="304" spans="1:12" hidden="1" outlineLevel="1" x14ac:dyDescent="0.35">
      <c r="A304" s="37" t="s">
        <v>518</v>
      </c>
      <c r="B304" s="62" t="s">
        <v>519</v>
      </c>
      <c r="C304" s="54" t="s">
        <v>920</v>
      </c>
      <c r="D304" s="85">
        <v>16433</v>
      </c>
      <c r="E304" s="75">
        <v>6937</v>
      </c>
      <c r="F304" s="85">
        <v>52745</v>
      </c>
      <c r="G304" s="64">
        <v>11579</v>
      </c>
      <c r="H304" s="85">
        <f>99054+58833</f>
        <v>157887</v>
      </c>
      <c r="I304" s="67"/>
      <c r="J304" s="71"/>
      <c r="K304" s="84">
        <f t="shared" si="34"/>
        <v>0</v>
      </c>
      <c r="L304" s="67">
        <f t="shared" si="35"/>
        <v>245581</v>
      </c>
    </row>
    <row r="305" spans="1:12" hidden="1" outlineLevel="1" x14ac:dyDescent="0.35">
      <c r="A305" s="37" t="s">
        <v>520</v>
      </c>
      <c r="B305" s="62" t="s">
        <v>521</v>
      </c>
      <c r="C305" s="54" t="s">
        <v>920</v>
      </c>
      <c r="D305" s="85"/>
      <c r="E305" s="63"/>
      <c r="F305" s="83"/>
      <c r="G305" s="64"/>
      <c r="H305" s="85"/>
      <c r="I305" s="67"/>
      <c r="J305" s="71"/>
      <c r="K305" s="84">
        <f t="shared" si="34"/>
        <v>0</v>
      </c>
      <c r="L305" s="67">
        <f t="shared" si="35"/>
        <v>0</v>
      </c>
    </row>
    <row r="306" spans="1:12" hidden="1" outlineLevel="1" x14ac:dyDescent="0.35">
      <c r="A306" s="37" t="s">
        <v>522</v>
      </c>
      <c r="B306" s="62" t="s">
        <v>365</v>
      </c>
      <c r="C306" s="54" t="s">
        <v>920</v>
      </c>
      <c r="D306" s="85"/>
      <c r="E306" s="63"/>
      <c r="F306" s="83">
        <v>28386</v>
      </c>
      <c r="G306" s="64">
        <v>3241</v>
      </c>
      <c r="H306" s="85"/>
      <c r="I306" s="67"/>
      <c r="J306" s="71"/>
      <c r="K306" s="84">
        <f t="shared" si="34"/>
        <v>0</v>
      </c>
      <c r="L306" s="67">
        <f t="shared" si="35"/>
        <v>31627</v>
      </c>
    </row>
    <row r="307" spans="1:12" hidden="1" outlineLevel="1" x14ac:dyDescent="0.35">
      <c r="A307" s="37" t="s">
        <v>523</v>
      </c>
      <c r="B307" s="62" t="s">
        <v>524</v>
      </c>
      <c r="C307" s="54" t="s">
        <v>920</v>
      </c>
      <c r="D307" s="85"/>
      <c r="E307" s="63"/>
      <c r="F307" s="83"/>
      <c r="G307" s="64"/>
      <c r="H307" s="85"/>
      <c r="I307" s="67"/>
      <c r="J307" s="71"/>
      <c r="K307" s="84">
        <f t="shared" si="34"/>
        <v>0</v>
      </c>
      <c r="L307" s="67">
        <f t="shared" si="35"/>
        <v>0</v>
      </c>
    </row>
    <row r="308" spans="1:12" hidden="1" outlineLevel="1" x14ac:dyDescent="0.35">
      <c r="A308" s="37" t="s">
        <v>525</v>
      </c>
      <c r="B308" s="62" t="s">
        <v>526</v>
      </c>
      <c r="C308" s="54" t="s">
        <v>920</v>
      </c>
      <c r="D308" s="85"/>
      <c r="E308" s="63"/>
      <c r="F308" s="83"/>
      <c r="G308" s="64"/>
      <c r="H308" s="85"/>
      <c r="I308" s="67"/>
      <c r="J308" s="71"/>
      <c r="K308" s="84">
        <f t="shared" si="34"/>
        <v>0</v>
      </c>
      <c r="L308" s="67">
        <f t="shared" si="35"/>
        <v>0</v>
      </c>
    </row>
    <row r="309" spans="1:12" hidden="1" outlineLevel="1" x14ac:dyDescent="0.35">
      <c r="A309" s="37" t="s">
        <v>527</v>
      </c>
      <c r="B309" s="62" t="s">
        <v>528</v>
      </c>
      <c r="C309" s="54" t="s">
        <v>920</v>
      </c>
      <c r="D309" s="85"/>
      <c r="E309" s="63"/>
      <c r="F309" s="83"/>
      <c r="G309" s="64"/>
      <c r="H309" s="85"/>
      <c r="I309" s="67"/>
      <c r="J309" s="71"/>
      <c r="K309" s="84">
        <f t="shared" si="34"/>
        <v>0</v>
      </c>
      <c r="L309" s="67">
        <f t="shared" si="35"/>
        <v>0</v>
      </c>
    </row>
    <row r="310" spans="1:12" hidden="1" outlineLevel="1" x14ac:dyDescent="0.35">
      <c r="A310" s="37" t="s">
        <v>529</v>
      </c>
      <c r="B310" s="62" t="s">
        <v>530</v>
      </c>
      <c r="C310" s="54" t="s">
        <v>920</v>
      </c>
      <c r="D310" s="85"/>
      <c r="E310" s="63"/>
      <c r="F310" s="83"/>
      <c r="G310" s="64">
        <v>3</v>
      </c>
      <c r="H310" s="85"/>
      <c r="I310" s="67"/>
      <c r="J310" s="71"/>
      <c r="K310" s="84">
        <f t="shared" si="34"/>
        <v>0</v>
      </c>
      <c r="L310" s="67">
        <f t="shared" si="35"/>
        <v>3</v>
      </c>
    </row>
    <row r="311" spans="1:12" hidden="1" outlineLevel="1" x14ac:dyDescent="0.35">
      <c r="A311" s="37" t="s">
        <v>531</v>
      </c>
      <c r="B311" s="62" t="s">
        <v>532</v>
      </c>
      <c r="C311" s="54" t="s">
        <v>920</v>
      </c>
      <c r="D311" s="85"/>
      <c r="E311" s="63"/>
      <c r="F311" s="83"/>
      <c r="G311" s="64"/>
      <c r="H311" s="85"/>
      <c r="I311" s="67"/>
      <c r="J311" s="71"/>
      <c r="K311" s="84">
        <f t="shared" si="34"/>
        <v>0</v>
      </c>
      <c r="L311" s="67">
        <f t="shared" si="35"/>
        <v>0</v>
      </c>
    </row>
    <row r="312" spans="1:12" hidden="1" outlineLevel="1" x14ac:dyDescent="0.35">
      <c r="A312" s="37" t="s">
        <v>533</v>
      </c>
      <c r="B312" s="62" t="s">
        <v>534</v>
      </c>
      <c r="C312" s="54" t="s">
        <v>920</v>
      </c>
      <c r="D312" s="85"/>
      <c r="E312" s="63"/>
      <c r="F312" s="83"/>
      <c r="G312" s="64">
        <v>1196</v>
      </c>
      <c r="H312" s="85"/>
      <c r="I312" s="67"/>
      <c r="J312" s="71"/>
      <c r="K312" s="84">
        <f t="shared" si="34"/>
        <v>0</v>
      </c>
      <c r="L312" s="67">
        <f t="shared" si="35"/>
        <v>1196</v>
      </c>
    </row>
    <row r="313" spans="1:12" hidden="1" outlineLevel="1" x14ac:dyDescent="0.35">
      <c r="A313" s="37" t="s">
        <v>535</v>
      </c>
      <c r="B313" s="62" t="s">
        <v>536</v>
      </c>
      <c r="C313" s="54" t="s">
        <v>920</v>
      </c>
      <c r="D313" s="85">
        <v>23458</v>
      </c>
      <c r="E313" s="63">
        <f>18336-5959+7357+13900+1600+36991</f>
        <v>72225</v>
      </c>
      <c r="F313" s="83">
        <v>600920</v>
      </c>
      <c r="G313" s="64">
        <v>2800</v>
      </c>
      <c r="H313" s="85"/>
      <c r="I313" s="67"/>
      <c r="J313" s="71"/>
      <c r="K313" s="84">
        <f t="shared" si="34"/>
        <v>0</v>
      </c>
      <c r="L313" s="67">
        <f t="shared" si="35"/>
        <v>699403</v>
      </c>
    </row>
    <row r="314" spans="1:12" hidden="1" outlineLevel="1" x14ac:dyDescent="0.35">
      <c r="A314" s="37" t="s">
        <v>537</v>
      </c>
      <c r="B314" s="62" t="s">
        <v>538</v>
      </c>
      <c r="C314" s="54" t="s">
        <v>920</v>
      </c>
      <c r="D314" s="85"/>
      <c r="E314" s="63">
        <f>6066+13642+3500+82350+108225</f>
        <v>213783</v>
      </c>
      <c r="F314" s="83"/>
      <c r="G314" s="64"/>
      <c r="H314" s="85"/>
      <c r="I314" s="67"/>
      <c r="J314" s="71"/>
      <c r="K314" s="84">
        <f t="shared" si="34"/>
        <v>0</v>
      </c>
      <c r="L314" s="67">
        <f t="shared" si="35"/>
        <v>213783</v>
      </c>
    </row>
    <row r="315" spans="1:12" hidden="1" outlineLevel="1" x14ac:dyDescent="0.35">
      <c r="A315" s="37" t="s">
        <v>539</v>
      </c>
      <c r="B315" s="62" t="s">
        <v>540</v>
      </c>
      <c r="C315" s="54" t="s">
        <v>920</v>
      </c>
      <c r="D315" s="85"/>
      <c r="E315" s="63">
        <f>8525+2705+9090</f>
        <v>20320</v>
      </c>
      <c r="F315" s="83"/>
      <c r="G315" s="64"/>
      <c r="H315" s="85"/>
      <c r="I315" s="67"/>
      <c r="J315" s="71"/>
      <c r="K315" s="84">
        <f t="shared" si="34"/>
        <v>0</v>
      </c>
      <c r="L315" s="67">
        <f t="shared" si="35"/>
        <v>20320</v>
      </c>
    </row>
    <row r="316" spans="1:12" hidden="1" outlineLevel="1" x14ac:dyDescent="0.35">
      <c r="A316" s="37" t="s">
        <v>541</v>
      </c>
      <c r="B316" s="62" t="s">
        <v>542</v>
      </c>
      <c r="C316" s="54" t="s">
        <v>920</v>
      </c>
      <c r="D316" s="85"/>
      <c r="E316" s="63"/>
      <c r="F316" s="83"/>
      <c r="G316" s="64">
        <v>65</v>
      </c>
      <c r="H316" s="85"/>
      <c r="I316" s="67"/>
      <c r="J316" s="71"/>
      <c r="K316" s="84">
        <f t="shared" si="34"/>
        <v>0</v>
      </c>
      <c r="L316" s="67">
        <f t="shared" si="35"/>
        <v>65</v>
      </c>
    </row>
    <row r="317" spans="1:12" hidden="1" outlineLevel="1" x14ac:dyDescent="0.35">
      <c r="A317" s="37" t="s">
        <v>543</v>
      </c>
      <c r="B317" s="62" t="s">
        <v>544</v>
      </c>
      <c r="C317" s="54" t="s">
        <v>920</v>
      </c>
      <c r="D317" s="85"/>
      <c r="E317" s="63"/>
      <c r="F317" s="83"/>
      <c r="G317" s="64">
        <v>294713</v>
      </c>
      <c r="H317" s="85">
        <v>229660</v>
      </c>
      <c r="I317" s="67">
        <f>106432+91642+78489+32778+93967+335915</f>
        <v>739223</v>
      </c>
      <c r="J317" s="71"/>
      <c r="K317" s="84">
        <f t="shared" si="34"/>
        <v>739223</v>
      </c>
      <c r="L317" s="67">
        <f t="shared" si="35"/>
        <v>1263596</v>
      </c>
    </row>
    <row r="318" spans="1:12" hidden="1" outlineLevel="1" x14ac:dyDescent="0.35">
      <c r="A318" s="37" t="s">
        <v>545</v>
      </c>
      <c r="B318" s="77" t="s">
        <v>546</v>
      </c>
      <c r="C318" s="54" t="s">
        <v>920</v>
      </c>
      <c r="D318" s="85"/>
      <c r="E318" s="63">
        <f>9100+2400</f>
        <v>11500</v>
      </c>
      <c r="F318" s="83">
        <v>52500</v>
      </c>
      <c r="G318" s="64"/>
      <c r="H318" s="85"/>
      <c r="I318" s="67"/>
      <c r="J318" s="71"/>
      <c r="K318" s="84">
        <f t="shared" si="34"/>
        <v>0</v>
      </c>
      <c r="L318" s="67">
        <f t="shared" si="35"/>
        <v>64000</v>
      </c>
    </row>
    <row r="319" spans="1:12" hidden="1" outlineLevel="1" x14ac:dyDescent="0.35">
      <c r="A319" s="37" t="s">
        <v>547</v>
      </c>
      <c r="B319" s="77" t="s">
        <v>548</v>
      </c>
      <c r="C319" s="54" t="s">
        <v>920</v>
      </c>
      <c r="D319" s="85"/>
      <c r="E319" s="63">
        <f>25370+275+261+261+3913+3913</f>
        <v>33993</v>
      </c>
      <c r="F319" s="83"/>
      <c r="G319" s="64"/>
      <c r="H319" s="85"/>
      <c r="I319" s="67">
        <f>21446+20173</f>
        <v>41619</v>
      </c>
      <c r="J319" s="71"/>
      <c r="K319" s="84">
        <f t="shared" si="34"/>
        <v>41619</v>
      </c>
      <c r="L319" s="67">
        <f t="shared" si="35"/>
        <v>75612</v>
      </c>
    </row>
    <row r="320" spans="1:12" hidden="1" outlineLevel="1" x14ac:dyDescent="0.35">
      <c r="A320" s="37" t="s">
        <v>549</v>
      </c>
      <c r="B320" s="62" t="s">
        <v>550</v>
      </c>
      <c r="C320" s="54" t="s">
        <v>920</v>
      </c>
      <c r="D320" s="85"/>
      <c r="E320" s="63"/>
      <c r="F320" s="83"/>
      <c r="G320" s="64">
        <v>178399</v>
      </c>
      <c r="H320" s="85"/>
      <c r="I320" s="67"/>
      <c r="J320" s="71"/>
      <c r="K320" s="84">
        <f t="shared" si="34"/>
        <v>0</v>
      </c>
      <c r="L320" s="67">
        <f t="shared" si="35"/>
        <v>178399</v>
      </c>
    </row>
    <row r="321" spans="1:12" hidden="1" outlineLevel="1" x14ac:dyDescent="0.35">
      <c r="A321" s="37" t="s">
        <v>551</v>
      </c>
      <c r="B321" s="62" t="s">
        <v>552</v>
      </c>
      <c r="C321" s="54" t="s">
        <v>920</v>
      </c>
      <c r="D321" s="85"/>
      <c r="E321" s="63"/>
      <c r="F321" s="83"/>
      <c r="G321" s="64"/>
      <c r="H321" s="85"/>
      <c r="I321" s="67"/>
      <c r="J321" s="71"/>
      <c r="K321" s="84">
        <f t="shared" si="34"/>
        <v>0</v>
      </c>
      <c r="L321" s="67">
        <f t="shared" si="35"/>
        <v>0</v>
      </c>
    </row>
    <row r="322" spans="1:12" hidden="1" outlineLevel="1" x14ac:dyDescent="0.35">
      <c r="A322" s="37" t="s">
        <v>553</v>
      </c>
      <c r="B322" s="62" t="s">
        <v>554</v>
      </c>
      <c r="C322" s="54" t="s">
        <v>920</v>
      </c>
      <c r="D322" s="85"/>
      <c r="E322" s="63"/>
      <c r="F322" s="83"/>
      <c r="G322" s="64"/>
      <c r="H322" s="85"/>
      <c r="I322" s="67"/>
      <c r="J322" s="71"/>
      <c r="K322" s="84">
        <f t="shared" si="34"/>
        <v>0</v>
      </c>
      <c r="L322" s="67">
        <f t="shared" si="35"/>
        <v>0</v>
      </c>
    </row>
    <row r="323" spans="1:12" hidden="1" outlineLevel="1" x14ac:dyDescent="0.35">
      <c r="A323" s="37" t="s">
        <v>555</v>
      </c>
      <c r="B323" s="62" t="s">
        <v>556</v>
      </c>
      <c r="C323" s="54" t="s">
        <v>920</v>
      </c>
      <c r="D323" s="85"/>
      <c r="E323" s="63"/>
      <c r="F323" s="83"/>
      <c r="G323" s="64"/>
      <c r="H323" s="85"/>
      <c r="I323" s="67"/>
      <c r="J323" s="71"/>
      <c r="K323" s="84">
        <f t="shared" si="34"/>
        <v>0</v>
      </c>
      <c r="L323" s="67">
        <f t="shared" si="35"/>
        <v>0</v>
      </c>
    </row>
    <row r="324" spans="1:12" hidden="1" outlineLevel="1" x14ac:dyDescent="0.35">
      <c r="A324" s="37" t="s">
        <v>557</v>
      </c>
      <c r="B324" s="62" t="s">
        <v>558</v>
      </c>
      <c r="C324" s="54" t="s">
        <v>920</v>
      </c>
      <c r="D324" s="85"/>
      <c r="E324" s="63"/>
      <c r="F324" s="83"/>
      <c r="G324" s="64"/>
      <c r="H324" s="85"/>
      <c r="I324" s="67"/>
      <c r="J324" s="71"/>
      <c r="K324" s="84">
        <f t="shared" si="34"/>
        <v>0</v>
      </c>
      <c r="L324" s="67">
        <f t="shared" si="35"/>
        <v>0</v>
      </c>
    </row>
    <row r="325" spans="1:12" hidden="1" outlineLevel="1" x14ac:dyDescent="0.35">
      <c r="A325" s="37" t="s">
        <v>559</v>
      </c>
      <c r="B325" s="62" t="s">
        <v>560</v>
      </c>
      <c r="C325" s="54" t="s">
        <v>920</v>
      </c>
      <c r="D325" s="85"/>
      <c r="E325" s="63"/>
      <c r="F325" s="83"/>
      <c r="G325" s="64"/>
      <c r="H325" s="85"/>
      <c r="I325" s="67"/>
      <c r="J325" s="71"/>
      <c r="K325" s="84">
        <f t="shared" si="34"/>
        <v>0</v>
      </c>
      <c r="L325" s="67">
        <f t="shared" si="35"/>
        <v>0</v>
      </c>
    </row>
    <row r="326" spans="1:12" hidden="1" outlineLevel="1" x14ac:dyDescent="0.35">
      <c r="A326" s="37" t="s">
        <v>561</v>
      </c>
      <c r="B326" s="62" t="s">
        <v>562</v>
      </c>
      <c r="C326" s="54" t="s">
        <v>920</v>
      </c>
      <c r="D326" s="85"/>
      <c r="E326" s="63"/>
      <c r="F326" s="83"/>
      <c r="G326" s="64"/>
      <c r="H326" s="85"/>
      <c r="I326" s="67"/>
      <c r="J326" s="71"/>
      <c r="K326" s="84">
        <f t="shared" si="34"/>
        <v>0</v>
      </c>
      <c r="L326" s="67">
        <f t="shared" si="35"/>
        <v>0</v>
      </c>
    </row>
    <row r="327" spans="1:12" hidden="1" outlineLevel="1" x14ac:dyDescent="0.35">
      <c r="A327" s="37" t="s">
        <v>563</v>
      </c>
      <c r="B327" s="62" t="s">
        <v>564</v>
      </c>
      <c r="C327" s="54" t="s">
        <v>920</v>
      </c>
      <c r="D327" s="85"/>
      <c r="E327" s="63"/>
      <c r="F327" s="83"/>
      <c r="G327" s="64"/>
      <c r="H327" s="85"/>
      <c r="I327" s="67"/>
      <c r="J327" s="71"/>
      <c r="K327" s="84">
        <f t="shared" si="34"/>
        <v>0</v>
      </c>
      <c r="L327" s="67">
        <f t="shared" si="35"/>
        <v>0</v>
      </c>
    </row>
    <row r="328" spans="1:12" hidden="1" outlineLevel="1" x14ac:dyDescent="0.35">
      <c r="A328" s="37" t="s">
        <v>565</v>
      </c>
      <c r="B328" s="62" t="s">
        <v>566</v>
      </c>
      <c r="C328" s="54" t="s">
        <v>920</v>
      </c>
      <c r="D328" s="85"/>
      <c r="E328" s="63"/>
      <c r="F328" s="83"/>
      <c r="G328" s="64"/>
      <c r="H328" s="85"/>
      <c r="I328" s="67"/>
      <c r="J328" s="71"/>
      <c r="K328" s="84">
        <f t="shared" si="34"/>
        <v>0</v>
      </c>
      <c r="L328" s="67">
        <f t="shared" si="35"/>
        <v>0</v>
      </c>
    </row>
    <row r="329" spans="1:12" hidden="1" outlineLevel="1" x14ac:dyDescent="0.35">
      <c r="A329" s="37" t="s">
        <v>567</v>
      </c>
      <c r="B329" s="62" t="s">
        <v>923</v>
      </c>
      <c r="C329" s="54" t="s">
        <v>920</v>
      </c>
      <c r="D329" s="85"/>
      <c r="E329" s="63"/>
      <c r="F329" s="83"/>
      <c r="G329" s="64"/>
      <c r="H329" s="85"/>
      <c r="I329" s="67"/>
      <c r="J329" s="71"/>
      <c r="K329" s="84">
        <f t="shared" si="34"/>
        <v>0</v>
      </c>
      <c r="L329" s="67">
        <f t="shared" si="35"/>
        <v>0</v>
      </c>
    </row>
    <row r="330" spans="1:12" hidden="1" outlineLevel="1" x14ac:dyDescent="0.35">
      <c r="A330" s="37" t="s">
        <v>568</v>
      </c>
      <c r="B330" s="62" t="s">
        <v>569</v>
      </c>
      <c r="C330" s="54" t="s">
        <v>920</v>
      </c>
      <c r="D330" s="85"/>
      <c r="E330" s="63"/>
      <c r="F330" s="83"/>
      <c r="G330" s="64"/>
      <c r="H330" s="85"/>
      <c r="I330" s="67"/>
      <c r="J330" s="71"/>
      <c r="K330" s="84">
        <f t="shared" si="34"/>
        <v>0</v>
      </c>
      <c r="L330" s="67">
        <f t="shared" si="35"/>
        <v>0</v>
      </c>
    </row>
    <row r="331" spans="1:12" hidden="1" outlineLevel="1" x14ac:dyDescent="0.35">
      <c r="A331" s="37" t="s">
        <v>570</v>
      </c>
      <c r="B331" s="62" t="s">
        <v>571</v>
      </c>
      <c r="C331" s="54" t="s">
        <v>920</v>
      </c>
      <c r="D331" s="85"/>
      <c r="E331" s="63"/>
      <c r="F331" s="83"/>
      <c r="G331" s="64"/>
      <c r="H331" s="85"/>
      <c r="I331" s="67"/>
      <c r="J331" s="71"/>
      <c r="K331" s="84">
        <f t="shared" si="34"/>
        <v>0</v>
      </c>
      <c r="L331" s="67">
        <f t="shared" si="35"/>
        <v>0</v>
      </c>
    </row>
    <row r="332" spans="1:12" hidden="1" outlineLevel="1" x14ac:dyDescent="0.35">
      <c r="A332" s="37" t="s">
        <v>572</v>
      </c>
      <c r="B332" s="62" t="s">
        <v>573</v>
      </c>
      <c r="C332" s="54" t="s">
        <v>920</v>
      </c>
      <c r="D332" s="85"/>
      <c r="E332" s="63"/>
      <c r="F332" s="83"/>
      <c r="G332" s="64"/>
      <c r="H332" s="85"/>
      <c r="I332" s="67"/>
      <c r="J332" s="71"/>
      <c r="K332" s="84">
        <f t="shared" si="34"/>
        <v>0</v>
      </c>
      <c r="L332" s="67">
        <f t="shared" si="35"/>
        <v>0</v>
      </c>
    </row>
    <row r="333" spans="1:12" hidden="1" outlineLevel="1" x14ac:dyDescent="0.35">
      <c r="A333" s="37" t="s">
        <v>574</v>
      </c>
      <c r="B333" s="62" t="s">
        <v>575</v>
      </c>
      <c r="C333" s="54" t="s">
        <v>920</v>
      </c>
      <c r="D333" s="85"/>
      <c r="E333" s="63"/>
      <c r="F333" s="83"/>
      <c r="G333" s="64"/>
      <c r="H333" s="85"/>
      <c r="I333" s="67"/>
      <c r="J333" s="71"/>
      <c r="K333" s="84">
        <f t="shared" ref="K333:K397" si="38">J333+I333</f>
        <v>0</v>
      </c>
      <c r="L333" s="67">
        <f t="shared" ref="L333:L397" si="39">K333+D333+E333+F333+G333+H333</f>
        <v>0</v>
      </c>
    </row>
    <row r="334" spans="1:12" hidden="1" outlineLevel="1" x14ac:dyDescent="0.35">
      <c r="A334" s="37" t="s">
        <v>576</v>
      </c>
      <c r="B334" s="62" t="s">
        <v>577</v>
      </c>
      <c r="C334" s="54" t="s">
        <v>920</v>
      </c>
      <c r="D334" s="85"/>
      <c r="E334" s="63"/>
      <c r="F334" s="83"/>
      <c r="G334" s="64">
        <v>416</v>
      </c>
      <c r="H334" s="85">
        <v>11784</v>
      </c>
      <c r="I334" s="67"/>
      <c r="J334" s="71"/>
      <c r="K334" s="84">
        <f t="shared" si="38"/>
        <v>0</v>
      </c>
      <c r="L334" s="67">
        <f t="shared" si="39"/>
        <v>12200</v>
      </c>
    </row>
    <row r="335" spans="1:12" hidden="1" outlineLevel="1" x14ac:dyDescent="0.35">
      <c r="A335" s="37" t="s">
        <v>578</v>
      </c>
      <c r="B335" s="62" t="s">
        <v>579</v>
      </c>
      <c r="C335" s="54" t="s">
        <v>920</v>
      </c>
      <c r="D335" s="85"/>
      <c r="E335" s="63">
        <f>12586</f>
        <v>12586</v>
      </c>
      <c r="F335" s="91"/>
      <c r="G335" s="64"/>
      <c r="H335" s="85"/>
      <c r="I335" s="67"/>
      <c r="J335" s="71"/>
      <c r="K335" s="84">
        <f t="shared" si="38"/>
        <v>0</v>
      </c>
      <c r="L335" s="67">
        <f t="shared" si="39"/>
        <v>12586</v>
      </c>
    </row>
    <row r="336" spans="1:12" hidden="1" outlineLevel="1" x14ac:dyDescent="0.35">
      <c r="A336" s="37" t="s">
        <v>580</v>
      </c>
      <c r="B336" s="62" t="s">
        <v>581</v>
      </c>
      <c r="C336" s="54" t="s">
        <v>920</v>
      </c>
      <c r="D336" s="85"/>
      <c r="E336" s="63"/>
      <c r="F336" s="83"/>
      <c r="G336" s="64"/>
      <c r="H336" s="85"/>
      <c r="I336" s="67"/>
      <c r="J336" s="71"/>
      <c r="K336" s="84">
        <f t="shared" si="38"/>
        <v>0</v>
      </c>
      <c r="L336" s="67">
        <f t="shared" si="39"/>
        <v>0</v>
      </c>
    </row>
    <row r="337" spans="1:12" hidden="1" outlineLevel="1" x14ac:dyDescent="0.35">
      <c r="A337" s="37" t="s">
        <v>582</v>
      </c>
      <c r="B337" s="62" t="s">
        <v>583</v>
      </c>
      <c r="C337" s="54" t="s">
        <v>920</v>
      </c>
      <c r="D337" s="85"/>
      <c r="E337" s="63"/>
      <c r="F337" s="83"/>
      <c r="G337" s="64"/>
      <c r="H337" s="85"/>
      <c r="I337" s="67"/>
      <c r="J337" s="71"/>
      <c r="K337" s="84">
        <f t="shared" si="38"/>
        <v>0</v>
      </c>
      <c r="L337" s="67">
        <f t="shared" si="39"/>
        <v>0</v>
      </c>
    </row>
    <row r="338" spans="1:12" x14ac:dyDescent="0.35">
      <c r="A338" s="37"/>
      <c r="B338" s="72" t="s">
        <v>1286</v>
      </c>
      <c r="C338" s="53"/>
      <c r="D338" s="88">
        <f>D194+D256-D293</f>
        <v>1050318.1405750799</v>
      </c>
      <c r="E338" s="76">
        <f t="shared" ref="E338:K338" si="40">E194+E256-E293</f>
        <v>601907.51437699678</v>
      </c>
      <c r="F338" s="88">
        <f t="shared" si="40"/>
        <v>2744361.5548455804</v>
      </c>
      <c r="G338" s="76">
        <f t="shared" si="40"/>
        <v>3866860.827121051</v>
      </c>
      <c r="H338" s="88">
        <f t="shared" si="40"/>
        <v>4420360.9630812928</v>
      </c>
      <c r="I338" s="76">
        <f t="shared" si="40"/>
        <v>1034014</v>
      </c>
      <c r="J338" s="88"/>
      <c r="K338" s="76">
        <f t="shared" si="40"/>
        <v>5539511</v>
      </c>
      <c r="L338" s="154">
        <f t="shared" si="39"/>
        <v>18223320</v>
      </c>
    </row>
    <row r="339" spans="1:12" collapsed="1" x14ac:dyDescent="0.35">
      <c r="A339" s="37"/>
      <c r="B339" s="62" t="s">
        <v>925</v>
      </c>
      <c r="C339" s="54"/>
      <c r="D339" s="85">
        <f>SUM(D340:D385)</f>
        <v>0</v>
      </c>
      <c r="E339" s="65">
        <f t="shared" ref="E339:I339" si="41">SUM(E340:E385)</f>
        <v>78130</v>
      </c>
      <c r="F339" s="85">
        <f t="shared" si="41"/>
        <v>17000</v>
      </c>
      <c r="G339" s="65">
        <f t="shared" si="41"/>
        <v>9206</v>
      </c>
      <c r="H339" s="85">
        <f t="shared" si="41"/>
        <v>0</v>
      </c>
      <c r="I339" s="65">
        <f t="shared" si="41"/>
        <v>891451</v>
      </c>
      <c r="J339" s="71">
        <f>J341</f>
        <v>3998070</v>
      </c>
      <c r="K339" s="84">
        <f>J339+I339</f>
        <v>4889521</v>
      </c>
      <c r="L339" s="67">
        <f t="shared" si="39"/>
        <v>4993857</v>
      </c>
    </row>
    <row r="340" spans="1:12" hidden="1" outlineLevel="1" x14ac:dyDescent="0.35">
      <c r="A340" s="37" t="s">
        <v>584</v>
      </c>
      <c r="B340" s="62" t="s">
        <v>585</v>
      </c>
      <c r="C340" s="54" t="s">
        <v>925</v>
      </c>
      <c r="D340" s="85"/>
      <c r="E340" s="63"/>
      <c r="F340" s="83">
        <v>1267924</v>
      </c>
      <c r="G340" s="64">
        <v>868979</v>
      </c>
      <c r="H340" s="85">
        <v>892653</v>
      </c>
      <c r="I340" s="67">
        <v>394443</v>
      </c>
      <c r="J340" s="71"/>
      <c r="K340" s="84">
        <f t="shared" si="38"/>
        <v>394443</v>
      </c>
      <c r="L340" s="67">
        <f t="shared" si="39"/>
        <v>3423999</v>
      </c>
    </row>
    <row r="341" spans="1:12" hidden="1" outlineLevel="1" x14ac:dyDescent="0.35">
      <c r="A341" s="37"/>
      <c r="B341" s="117" t="s">
        <v>1305</v>
      </c>
      <c r="C341" s="118"/>
      <c r="D341" s="119"/>
      <c r="E341" s="121"/>
      <c r="F341" s="122">
        <f>-F340-F346-F355-F360-F362-F363-F364-F368</f>
        <v>-1637043</v>
      </c>
      <c r="G341" s="123">
        <f>-G340-G346-G347-G349-G357-G360-G362-G363-G364-G373-G376-G383</f>
        <v>-1215806</v>
      </c>
      <c r="H341" s="119">
        <f>-H340-H345-H362-H363-H364</f>
        <v>-1145221</v>
      </c>
      <c r="I341" s="120">
        <v>0</v>
      </c>
      <c r="J341" s="128">
        <f>-H341-G341-F341-E341-D341</f>
        <v>3998070</v>
      </c>
      <c r="K341" s="133">
        <f>+J341+I341</f>
        <v>3998070</v>
      </c>
      <c r="L341" s="129">
        <f>+K341+H341+G341+F341+E341+D341</f>
        <v>0</v>
      </c>
    </row>
    <row r="342" spans="1:12" hidden="1" outlineLevel="1" x14ac:dyDescent="0.35">
      <c r="A342" s="37" t="s">
        <v>586</v>
      </c>
      <c r="B342" s="62" t="s">
        <v>587</v>
      </c>
      <c r="C342" s="54" t="s">
        <v>925</v>
      </c>
      <c r="D342" s="85"/>
      <c r="E342" s="63"/>
      <c r="F342" s="83"/>
      <c r="G342" s="64"/>
      <c r="H342" s="85"/>
      <c r="I342" s="67"/>
      <c r="J342" s="71"/>
      <c r="K342" s="84">
        <f t="shared" si="38"/>
        <v>0</v>
      </c>
      <c r="L342" s="67">
        <f t="shared" si="39"/>
        <v>0</v>
      </c>
    </row>
    <row r="343" spans="1:12" hidden="1" outlineLevel="1" x14ac:dyDescent="0.35">
      <c r="A343" s="37" t="s">
        <v>588</v>
      </c>
      <c r="B343" s="62" t="s">
        <v>589</v>
      </c>
      <c r="C343" s="54" t="s">
        <v>925</v>
      </c>
      <c r="D343" s="85"/>
      <c r="E343" s="63"/>
      <c r="F343" s="83">
        <v>17000</v>
      </c>
      <c r="G343" s="64">
        <v>2750</v>
      </c>
      <c r="H343" s="85"/>
      <c r="I343" s="67">
        <f>100000+99000+83000</f>
        <v>282000</v>
      </c>
      <c r="J343" s="71"/>
      <c r="K343" s="84">
        <f t="shared" si="38"/>
        <v>282000</v>
      </c>
      <c r="L343" s="67">
        <f t="shared" si="39"/>
        <v>301750</v>
      </c>
    </row>
    <row r="344" spans="1:12" hidden="1" outlineLevel="1" x14ac:dyDescent="0.35">
      <c r="A344" s="37" t="s">
        <v>590</v>
      </c>
      <c r="B344" s="62" t="s">
        <v>591</v>
      </c>
      <c r="C344" s="54" t="s">
        <v>925</v>
      </c>
      <c r="D344" s="85"/>
      <c r="E344" s="63"/>
      <c r="F344" s="83"/>
      <c r="G344" s="64"/>
      <c r="H344" s="85"/>
      <c r="I344" s="67"/>
      <c r="J344" s="71"/>
      <c r="K344" s="84">
        <f t="shared" si="38"/>
        <v>0</v>
      </c>
      <c r="L344" s="67">
        <f t="shared" si="39"/>
        <v>0</v>
      </c>
    </row>
    <row r="345" spans="1:12" hidden="1" outlineLevel="1" x14ac:dyDescent="0.35">
      <c r="A345" s="37" t="s">
        <v>592</v>
      </c>
      <c r="B345" s="62" t="s">
        <v>593</v>
      </c>
      <c r="C345" s="54" t="s">
        <v>925</v>
      </c>
      <c r="D345" s="85"/>
      <c r="E345" s="63"/>
      <c r="F345" s="83"/>
      <c r="G345" s="64"/>
      <c r="H345" s="85">
        <v>109231</v>
      </c>
      <c r="I345" s="67"/>
      <c r="J345" s="71"/>
      <c r="K345" s="84">
        <f t="shared" si="38"/>
        <v>0</v>
      </c>
      <c r="L345" s="67">
        <f t="shared" si="39"/>
        <v>109231</v>
      </c>
    </row>
    <row r="346" spans="1:12" hidden="1" outlineLevel="1" x14ac:dyDescent="0.35">
      <c r="A346" s="37" t="s">
        <v>594</v>
      </c>
      <c r="B346" s="62" t="s">
        <v>595</v>
      </c>
      <c r="C346" s="54" t="s">
        <v>925</v>
      </c>
      <c r="D346" s="85"/>
      <c r="E346" s="63"/>
      <c r="F346" s="83">
        <v>213525</v>
      </c>
      <c r="G346" s="64">
        <v>104277</v>
      </c>
      <c r="H346" s="85"/>
      <c r="I346" s="67">
        <v>56243</v>
      </c>
      <c r="J346" s="71"/>
      <c r="K346" s="84">
        <f t="shared" si="38"/>
        <v>56243</v>
      </c>
      <c r="L346" s="67">
        <f t="shared" si="39"/>
        <v>374045</v>
      </c>
    </row>
    <row r="347" spans="1:12" hidden="1" outlineLevel="1" x14ac:dyDescent="0.35">
      <c r="A347" s="37" t="s">
        <v>596</v>
      </c>
      <c r="B347" s="62" t="s">
        <v>597</v>
      </c>
      <c r="C347" s="54" t="s">
        <v>925</v>
      </c>
      <c r="D347" s="85"/>
      <c r="E347" s="63"/>
      <c r="F347" s="83"/>
      <c r="G347" s="64">
        <v>9616</v>
      </c>
      <c r="H347" s="85"/>
      <c r="I347" s="67"/>
      <c r="J347" s="71"/>
      <c r="K347" s="84">
        <f t="shared" si="38"/>
        <v>0</v>
      </c>
      <c r="L347" s="67">
        <f t="shared" si="39"/>
        <v>9616</v>
      </c>
    </row>
    <row r="348" spans="1:12" hidden="1" outlineLevel="1" x14ac:dyDescent="0.35">
      <c r="A348" s="37" t="s">
        <v>598</v>
      </c>
      <c r="B348" s="62" t="s">
        <v>599</v>
      </c>
      <c r="C348" s="54" t="s">
        <v>925</v>
      </c>
      <c r="D348" s="85"/>
      <c r="E348" s="63"/>
      <c r="F348" s="83"/>
      <c r="G348" s="64"/>
      <c r="H348" s="85"/>
      <c r="I348" s="67"/>
      <c r="J348" s="71"/>
      <c r="K348" s="84">
        <f t="shared" si="38"/>
        <v>0</v>
      </c>
      <c r="L348" s="67">
        <f t="shared" si="39"/>
        <v>0</v>
      </c>
    </row>
    <row r="349" spans="1:12" hidden="1" outlineLevel="1" x14ac:dyDescent="0.35">
      <c r="A349" s="37" t="s">
        <v>600</v>
      </c>
      <c r="B349" s="62" t="s">
        <v>601</v>
      </c>
      <c r="C349" s="54" t="s">
        <v>925</v>
      </c>
      <c r="D349" s="85"/>
      <c r="E349" s="63"/>
      <c r="F349" s="83"/>
      <c r="G349" s="64">
        <v>1892</v>
      </c>
      <c r="H349" s="85"/>
      <c r="I349" s="67"/>
      <c r="J349" s="71"/>
      <c r="K349" s="84">
        <f t="shared" si="38"/>
        <v>0</v>
      </c>
      <c r="L349" s="67">
        <f t="shared" si="39"/>
        <v>1892</v>
      </c>
    </row>
    <row r="350" spans="1:12" hidden="1" outlineLevel="1" x14ac:dyDescent="0.35">
      <c r="A350" s="37" t="s">
        <v>602</v>
      </c>
      <c r="B350" s="62" t="s">
        <v>603</v>
      </c>
      <c r="C350" s="54" t="s">
        <v>925</v>
      </c>
      <c r="D350" s="85"/>
      <c r="E350" s="63"/>
      <c r="F350" s="83"/>
      <c r="G350" s="64"/>
      <c r="H350" s="85"/>
      <c r="I350" s="67"/>
      <c r="J350" s="71"/>
      <c r="K350" s="84">
        <f t="shared" si="38"/>
        <v>0</v>
      </c>
      <c r="L350" s="67">
        <f t="shared" si="39"/>
        <v>0</v>
      </c>
    </row>
    <row r="351" spans="1:12" hidden="1" outlineLevel="1" x14ac:dyDescent="0.35">
      <c r="A351" s="37" t="s">
        <v>604</v>
      </c>
      <c r="B351" s="62" t="s">
        <v>605</v>
      </c>
      <c r="C351" s="54" t="s">
        <v>925</v>
      </c>
      <c r="D351" s="85"/>
      <c r="E351" s="63"/>
      <c r="F351" s="83"/>
      <c r="G351" s="64"/>
      <c r="H351" s="85"/>
      <c r="I351" s="67"/>
      <c r="J351" s="71"/>
      <c r="K351" s="84">
        <f t="shared" si="38"/>
        <v>0</v>
      </c>
      <c r="L351" s="67">
        <f t="shared" si="39"/>
        <v>0</v>
      </c>
    </row>
    <row r="352" spans="1:12" hidden="1" outlineLevel="1" x14ac:dyDescent="0.35">
      <c r="A352" s="37" t="s">
        <v>606</v>
      </c>
      <c r="B352" s="62" t="s">
        <v>607</v>
      </c>
      <c r="C352" s="54" t="s">
        <v>925</v>
      </c>
      <c r="D352" s="85"/>
      <c r="E352" s="63"/>
      <c r="F352" s="83"/>
      <c r="G352" s="64"/>
      <c r="H352" s="85"/>
      <c r="I352" s="67"/>
      <c r="J352" s="71"/>
      <c r="K352" s="84">
        <f t="shared" si="38"/>
        <v>0</v>
      </c>
      <c r="L352" s="67">
        <f t="shared" si="39"/>
        <v>0</v>
      </c>
    </row>
    <row r="353" spans="1:12" hidden="1" outlineLevel="1" x14ac:dyDescent="0.35">
      <c r="A353" s="37" t="s">
        <v>608</v>
      </c>
      <c r="B353" s="62" t="s">
        <v>609</v>
      </c>
      <c r="C353" s="54" t="s">
        <v>925</v>
      </c>
      <c r="D353" s="85"/>
      <c r="E353" s="63"/>
      <c r="F353" s="83"/>
      <c r="G353" s="64"/>
      <c r="H353" s="85"/>
      <c r="I353" s="67"/>
      <c r="J353" s="71"/>
      <c r="K353" s="84">
        <f t="shared" si="38"/>
        <v>0</v>
      </c>
      <c r="L353" s="67">
        <f t="shared" si="39"/>
        <v>0</v>
      </c>
    </row>
    <row r="354" spans="1:12" hidden="1" outlineLevel="1" x14ac:dyDescent="0.35">
      <c r="A354" s="37" t="s">
        <v>610</v>
      </c>
      <c r="B354" s="62" t="s">
        <v>611</v>
      </c>
      <c r="C354" s="54" t="s">
        <v>925</v>
      </c>
      <c r="D354" s="85"/>
      <c r="E354" s="63"/>
      <c r="F354" s="83"/>
      <c r="G354" s="64"/>
      <c r="H354" s="85"/>
      <c r="I354" s="67"/>
      <c r="J354" s="71"/>
      <c r="K354" s="84">
        <f t="shared" si="38"/>
        <v>0</v>
      </c>
      <c r="L354" s="67">
        <f t="shared" si="39"/>
        <v>0</v>
      </c>
    </row>
    <row r="355" spans="1:12" hidden="1" outlineLevel="1" x14ac:dyDescent="0.35">
      <c r="A355" s="37" t="s">
        <v>612</v>
      </c>
      <c r="B355" s="62" t="s">
        <v>613</v>
      </c>
      <c r="C355" s="54" t="s">
        <v>925</v>
      </c>
      <c r="D355" s="85"/>
      <c r="E355" s="63"/>
      <c r="F355" s="83">
        <v>14134</v>
      </c>
      <c r="G355" s="64"/>
      <c r="H355" s="85"/>
      <c r="I355" s="67">
        <v>12138</v>
      </c>
      <c r="J355" s="71"/>
      <c r="K355" s="84">
        <f t="shared" si="38"/>
        <v>12138</v>
      </c>
      <c r="L355" s="67">
        <f t="shared" si="39"/>
        <v>26272</v>
      </c>
    </row>
    <row r="356" spans="1:12" hidden="1" outlineLevel="1" x14ac:dyDescent="0.35">
      <c r="A356" s="37" t="s">
        <v>614</v>
      </c>
      <c r="B356" s="62" t="s">
        <v>615</v>
      </c>
      <c r="C356" s="54" t="s">
        <v>925</v>
      </c>
      <c r="D356" s="85"/>
      <c r="E356" s="63"/>
      <c r="F356" s="83"/>
      <c r="G356" s="64"/>
      <c r="H356" s="85"/>
      <c r="I356" s="67"/>
      <c r="J356" s="71"/>
      <c r="K356" s="84">
        <f t="shared" si="38"/>
        <v>0</v>
      </c>
      <c r="L356" s="67">
        <f t="shared" si="39"/>
        <v>0</v>
      </c>
    </row>
    <row r="357" spans="1:12" hidden="1" outlineLevel="1" x14ac:dyDescent="0.35">
      <c r="A357" s="37" t="s">
        <v>616</v>
      </c>
      <c r="B357" s="62" t="s">
        <v>617</v>
      </c>
      <c r="C357" s="54" t="s">
        <v>925</v>
      </c>
      <c r="D357" s="85"/>
      <c r="E357" s="63"/>
      <c r="F357" s="83"/>
      <c r="G357" s="64">
        <v>-1892</v>
      </c>
      <c r="H357" s="85"/>
      <c r="I357" s="67">
        <v>-12138</v>
      </c>
      <c r="J357" s="71"/>
      <c r="K357" s="84">
        <f t="shared" si="38"/>
        <v>-12138</v>
      </c>
      <c r="L357" s="67">
        <f t="shared" si="39"/>
        <v>-14030</v>
      </c>
    </row>
    <row r="358" spans="1:12" hidden="1" outlineLevel="1" x14ac:dyDescent="0.35">
      <c r="A358" s="37" t="s">
        <v>618</v>
      </c>
      <c r="B358" s="62" t="s">
        <v>619</v>
      </c>
      <c r="C358" s="54" t="s">
        <v>925</v>
      </c>
      <c r="D358" s="85"/>
      <c r="E358" s="63"/>
      <c r="F358" s="83"/>
      <c r="G358" s="64"/>
      <c r="H358" s="85"/>
      <c r="I358" s="67"/>
      <c r="J358" s="71"/>
      <c r="K358" s="84">
        <f t="shared" si="38"/>
        <v>0</v>
      </c>
      <c r="L358" s="67">
        <f t="shared" si="39"/>
        <v>0</v>
      </c>
    </row>
    <row r="359" spans="1:12" hidden="1" outlineLevel="1" x14ac:dyDescent="0.35">
      <c r="A359" s="37" t="s">
        <v>620</v>
      </c>
      <c r="B359" s="62" t="s">
        <v>621</v>
      </c>
      <c r="C359" s="54" t="s">
        <v>925</v>
      </c>
      <c r="D359" s="85"/>
      <c r="E359" s="63">
        <v>78130</v>
      </c>
      <c r="F359" s="83"/>
      <c r="G359" s="64"/>
      <c r="H359" s="85"/>
      <c r="I359" s="67"/>
      <c r="J359" s="71"/>
      <c r="K359" s="84">
        <f t="shared" si="38"/>
        <v>0</v>
      </c>
      <c r="L359" s="67">
        <f t="shared" si="39"/>
        <v>78130</v>
      </c>
    </row>
    <row r="360" spans="1:12" hidden="1" outlineLevel="1" x14ac:dyDescent="0.35">
      <c r="A360" s="37" t="s">
        <v>622</v>
      </c>
      <c r="B360" s="62" t="s">
        <v>926</v>
      </c>
      <c r="C360" s="54" t="s">
        <v>925</v>
      </c>
      <c r="D360" s="85"/>
      <c r="E360" s="63"/>
      <c r="F360" s="83">
        <v>2104</v>
      </c>
      <c r="G360" s="64">
        <v>14685</v>
      </c>
      <c r="H360" s="85"/>
      <c r="I360" s="67"/>
      <c r="J360" s="71"/>
      <c r="K360" s="84">
        <f t="shared" si="38"/>
        <v>0</v>
      </c>
      <c r="L360" s="67">
        <f t="shared" si="39"/>
        <v>16789</v>
      </c>
    </row>
    <row r="361" spans="1:12" hidden="1" outlineLevel="1" x14ac:dyDescent="0.35">
      <c r="A361" s="37" t="s">
        <v>623</v>
      </c>
      <c r="B361" s="62" t="s">
        <v>927</v>
      </c>
      <c r="C361" s="54" t="s">
        <v>925</v>
      </c>
      <c r="D361" s="85"/>
      <c r="E361" s="63"/>
      <c r="F361" s="83"/>
      <c r="G361" s="64"/>
      <c r="H361" s="85"/>
      <c r="I361" s="67"/>
      <c r="J361" s="71"/>
      <c r="K361" s="84">
        <f t="shared" si="38"/>
        <v>0</v>
      </c>
      <c r="L361" s="67">
        <f t="shared" si="39"/>
        <v>0</v>
      </c>
    </row>
    <row r="362" spans="1:12" hidden="1" outlineLevel="1" x14ac:dyDescent="0.35">
      <c r="A362" s="37" t="s">
        <v>624</v>
      </c>
      <c r="B362" s="62" t="s">
        <v>625</v>
      </c>
      <c r="C362" s="54" t="s">
        <v>925</v>
      </c>
      <c r="D362" s="85"/>
      <c r="E362" s="63"/>
      <c r="F362" s="83">
        <v>224403</v>
      </c>
      <c r="G362" s="64">
        <v>132105</v>
      </c>
      <c r="H362" s="85">
        <v>107231</v>
      </c>
      <c r="I362" s="67">
        <v>67786</v>
      </c>
      <c r="J362" s="71"/>
      <c r="K362" s="84">
        <f t="shared" si="38"/>
        <v>67786</v>
      </c>
      <c r="L362" s="67">
        <f t="shared" si="39"/>
        <v>531525</v>
      </c>
    </row>
    <row r="363" spans="1:12" hidden="1" outlineLevel="1" x14ac:dyDescent="0.35">
      <c r="A363" s="37" t="s">
        <v>626</v>
      </c>
      <c r="B363" s="62" t="s">
        <v>627</v>
      </c>
      <c r="C363" s="54" t="s">
        <v>925</v>
      </c>
      <c r="D363" s="85"/>
      <c r="E363" s="63"/>
      <c r="F363" s="83">
        <v>30107</v>
      </c>
      <c r="G363" s="64">
        <v>16059</v>
      </c>
      <c r="H363" s="85">
        <f>15402+175</f>
        <v>15577</v>
      </c>
      <c r="I363" s="67">
        <v>7930</v>
      </c>
      <c r="J363" s="71"/>
      <c r="K363" s="84">
        <f t="shared" si="38"/>
        <v>7930</v>
      </c>
      <c r="L363" s="67">
        <f t="shared" si="39"/>
        <v>69673</v>
      </c>
    </row>
    <row r="364" spans="1:12" hidden="1" outlineLevel="1" x14ac:dyDescent="0.35">
      <c r="A364" s="37" t="s">
        <v>628</v>
      </c>
      <c r="B364" s="62" t="s">
        <v>629</v>
      </c>
      <c r="C364" s="54" t="s">
        <v>925</v>
      </c>
      <c r="D364" s="85"/>
      <c r="E364" s="63"/>
      <c r="F364" s="83">
        <v>94886</v>
      </c>
      <c r="G364" s="64">
        <v>56835</v>
      </c>
      <c r="H364" s="85">
        <v>20529</v>
      </c>
      <c r="I364" s="67">
        <v>22791</v>
      </c>
      <c r="J364" s="71"/>
      <c r="K364" s="84">
        <f t="shared" si="38"/>
        <v>22791</v>
      </c>
      <c r="L364" s="67">
        <f t="shared" si="39"/>
        <v>195041</v>
      </c>
    </row>
    <row r="365" spans="1:12" hidden="1" outlineLevel="1" x14ac:dyDescent="0.35">
      <c r="A365" s="37" t="s">
        <v>630</v>
      </c>
      <c r="B365" s="62" t="s">
        <v>631</v>
      </c>
      <c r="C365" s="54" t="s">
        <v>925</v>
      </c>
      <c r="D365" s="85"/>
      <c r="E365" s="63"/>
      <c r="F365" s="83"/>
      <c r="G365" s="64"/>
      <c r="H365" s="85"/>
      <c r="I365" s="67"/>
      <c r="J365" s="71"/>
      <c r="K365" s="84">
        <f t="shared" si="38"/>
        <v>0</v>
      </c>
      <c r="L365" s="67">
        <f t="shared" si="39"/>
        <v>0</v>
      </c>
    </row>
    <row r="366" spans="1:12" hidden="1" outlineLevel="1" x14ac:dyDescent="0.35">
      <c r="A366" s="37" t="s">
        <v>632</v>
      </c>
      <c r="B366" s="62" t="s">
        <v>633</v>
      </c>
      <c r="C366" s="54" t="s">
        <v>925</v>
      </c>
      <c r="D366" s="85"/>
      <c r="E366" s="63"/>
      <c r="F366" s="83"/>
      <c r="G366" s="64">
        <v>6456</v>
      </c>
      <c r="H366" s="85"/>
      <c r="I366" s="67"/>
      <c r="J366" s="71"/>
      <c r="K366" s="84">
        <f t="shared" si="38"/>
        <v>0</v>
      </c>
      <c r="L366" s="67">
        <f t="shared" si="39"/>
        <v>6456</v>
      </c>
    </row>
    <row r="367" spans="1:12" hidden="1" outlineLevel="1" x14ac:dyDescent="0.35">
      <c r="A367" s="37" t="s">
        <v>634</v>
      </c>
      <c r="B367" s="62" t="s">
        <v>635</v>
      </c>
      <c r="C367" s="54" t="s">
        <v>925</v>
      </c>
      <c r="D367" s="85"/>
      <c r="E367" s="63"/>
      <c r="F367" s="83"/>
      <c r="G367" s="64"/>
      <c r="H367" s="85"/>
      <c r="I367" s="67"/>
      <c r="J367" s="71"/>
      <c r="K367" s="84">
        <f t="shared" si="38"/>
        <v>0</v>
      </c>
      <c r="L367" s="67">
        <f t="shared" si="39"/>
        <v>0</v>
      </c>
    </row>
    <row r="368" spans="1:12" hidden="1" outlineLevel="1" x14ac:dyDescent="0.35">
      <c r="A368" s="37" t="s">
        <v>636</v>
      </c>
      <c r="B368" s="62" t="s">
        <v>637</v>
      </c>
      <c r="C368" s="54" t="s">
        <v>925</v>
      </c>
      <c r="D368" s="85"/>
      <c r="E368" s="63"/>
      <c r="F368" s="83">
        <v>-210040</v>
      </c>
      <c r="G368" s="64"/>
      <c r="H368" s="85"/>
      <c r="I368" s="67">
        <v>-13992</v>
      </c>
      <c r="J368" s="71"/>
      <c r="K368" s="84">
        <f t="shared" si="38"/>
        <v>-13992</v>
      </c>
      <c r="L368" s="67">
        <f t="shared" si="39"/>
        <v>-224032</v>
      </c>
    </row>
    <row r="369" spans="1:12" hidden="1" outlineLevel="1" x14ac:dyDescent="0.35">
      <c r="A369" s="37" t="s">
        <v>638</v>
      </c>
      <c r="B369" s="62" t="s">
        <v>639</v>
      </c>
      <c r="C369" s="54" t="s">
        <v>925</v>
      </c>
      <c r="D369" s="85"/>
      <c r="E369" s="63"/>
      <c r="F369" s="83">
        <v>210040</v>
      </c>
      <c r="G369" s="64"/>
      <c r="H369" s="85"/>
      <c r="I369" s="67"/>
      <c r="J369" s="71"/>
      <c r="K369" s="84">
        <f t="shared" si="38"/>
        <v>0</v>
      </c>
      <c r="L369" s="67">
        <f t="shared" si="39"/>
        <v>210040</v>
      </c>
    </row>
    <row r="370" spans="1:12" hidden="1" outlineLevel="1" x14ac:dyDescent="0.35">
      <c r="A370" s="37" t="s">
        <v>640</v>
      </c>
      <c r="B370" s="62" t="s">
        <v>641</v>
      </c>
      <c r="C370" s="54" t="s">
        <v>925</v>
      </c>
      <c r="D370" s="85"/>
      <c r="E370" s="63"/>
      <c r="F370" s="83">
        <v>-210040</v>
      </c>
      <c r="G370" s="64"/>
      <c r="H370" s="85"/>
      <c r="I370" s="67"/>
      <c r="J370" s="71"/>
      <c r="K370" s="84">
        <f t="shared" si="38"/>
        <v>0</v>
      </c>
      <c r="L370" s="67">
        <f t="shared" si="39"/>
        <v>-210040</v>
      </c>
    </row>
    <row r="371" spans="1:12" hidden="1" outlineLevel="1" x14ac:dyDescent="0.35">
      <c r="A371" s="37" t="s">
        <v>642</v>
      </c>
      <c r="B371" s="62" t="s">
        <v>643</v>
      </c>
      <c r="C371" s="54" t="s">
        <v>925</v>
      </c>
      <c r="D371" s="85"/>
      <c r="E371" s="63"/>
      <c r="F371" s="83"/>
      <c r="G371" s="64"/>
      <c r="H371" s="85"/>
      <c r="I371" s="67"/>
      <c r="J371" s="71"/>
      <c r="K371" s="84">
        <f t="shared" si="38"/>
        <v>0</v>
      </c>
      <c r="L371" s="67">
        <f t="shared" si="39"/>
        <v>0</v>
      </c>
    </row>
    <row r="372" spans="1:12" hidden="1" outlineLevel="1" x14ac:dyDescent="0.35">
      <c r="A372" s="37" t="s">
        <v>644</v>
      </c>
      <c r="B372" s="62" t="s">
        <v>645</v>
      </c>
      <c r="C372" s="54" t="s">
        <v>925</v>
      </c>
      <c r="D372" s="85"/>
      <c r="E372" s="63"/>
      <c r="F372" s="83"/>
      <c r="G372" s="64"/>
      <c r="H372" s="85"/>
      <c r="I372" s="67"/>
      <c r="J372" s="71"/>
      <c r="K372" s="84">
        <f t="shared" si="38"/>
        <v>0</v>
      </c>
      <c r="L372" s="67">
        <f t="shared" si="39"/>
        <v>0</v>
      </c>
    </row>
    <row r="373" spans="1:12" hidden="1" outlineLevel="1" x14ac:dyDescent="0.35">
      <c r="A373" s="37" t="s">
        <v>646</v>
      </c>
      <c r="B373" s="62" t="s">
        <v>647</v>
      </c>
      <c r="C373" s="54" t="s">
        <v>925</v>
      </c>
      <c r="D373" s="85"/>
      <c r="E373" s="63"/>
      <c r="F373" s="83"/>
      <c r="G373" s="64">
        <v>757</v>
      </c>
      <c r="H373" s="85"/>
      <c r="I373" s="67"/>
      <c r="J373" s="71"/>
      <c r="K373" s="84">
        <f t="shared" si="38"/>
        <v>0</v>
      </c>
      <c r="L373" s="67">
        <f t="shared" si="39"/>
        <v>757</v>
      </c>
    </row>
    <row r="374" spans="1:12" hidden="1" outlineLevel="1" x14ac:dyDescent="0.35">
      <c r="A374" s="37" t="s">
        <v>648</v>
      </c>
      <c r="B374" s="62" t="s">
        <v>649</v>
      </c>
      <c r="C374" s="54" t="s">
        <v>925</v>
      </c>
      <c r="D374" s="85"/>
      <c r="E374" s="63"/>
      <c r="F374" s="83"/>
      <c r="G374" s="64"/>
      <c r="H374" s="85"/>
      <c r="I374" s="67"/>
      <c r="J374" s="71"/>
      <c r="K374" s="84">
        <f t="shared" si="38"/>
        <v>0</v>
      </c>
      <c r="L374" s="67">
        <f t="shared" si="39"/>
        <v>0</v>
      </c>
    </row>
    <row r="375" spans="1:12" hidden="1" outlineLevel="1" x14ac:dyDescent="0.35">
      <c r="A375" s="37" t="s">
        <v>650</v>
      </c>
      <c r="B375" s="62" t="s">
        <v>651</v>
      </c>
      <c r="C375" s="54" t="s">
        <v>925</v>
      </c>
      <c r="D375" s="85"/>
      <c r="E375" s="63"/>
      <c r="F375" s="83"/>
      <c r="G375" s="64"/>
      <c r="H375" s="85"/>
      <c r="I375" s="67"/>
      <c r="J375" s="71"/>
      <c r="K375" s="84">
        <f t="shared" si="38"/>
        <v>0</v>
      </c>
      <c r="L375" s="67">
        <f t="shared" si="39"/>
        <v>0</v>
      </c>
    </row>
    <row r="376" spans="1:12" hidden="1" outlineLevel="1" x14ac:dyDescent="0.35">
      <c r="A376" s="37" t="s">
        <v>652</v>
      </c>
      <c r="B376" s="62" t="s">
        <v>653</v>
      </c>
      <c r="C376" s="54" t="s">
        <v>925</v>
      </c>
      <c r="D376" s="85"/>
      <c r="E376" s="63"/>
      <c r="F376" s="83"/>
      <c r="G376" s="64">
        <v>3454</v>
      </c>
      <c r="H376" s="85"/>
      <c r="I376" s="67"/>
      <c r="J376" s="71"/>
      <c r="K376" s="84">
        <f t="shared" si="38"/>
        <v>0</v>
      </c>
      <c r="L376" s="67">
        <f t="shared" si="39"/>
        <v>3454</v>
      </c>
    </row>
    <row r="377" spans="1:12" hidden="1" outlineLevel="1" x14ac:dyDescent="0.35">
      <c r="A377" s="37" t="s">
        <v>654</v>
      </c>
      <c r="B377" s="62" t="s">
        <v>655</v>
      </c>
      <c r="C377" s="54" t="s">
        <v>925</v>
      </c>
      <c r="D377" s="85"/>
      <c r="E377" s="63"/>
      <c r="F377" s="83"/>
      <c r="G377" s="64"/>
      <c r="H377" s="85"/>
      <c r="I377" s="67"/>
      <c r="J377" s="71"/>
      <c r="K377" s="84">
        <f t="shared" si="38"/>
        <v>0</v>
      </c>
      <c r="L377" s="67">
        <f t="shared" si="39"/>
        <v>0</v>
      </c>
    </row>
    <row r="378" spans="1:12" hidden="1" outlineLevel="1" x14ac:dyDescent="0.35">
      <c r="A378" s="55" t="s">
        <v>656</v>
      </c>
      <c r="B378" s="78" t="s">
        <v>657</v>
      </c>
      <c r="C378" s="54" t="s">
        <v>925</v>
      </c>
      <c r="D378" s="85"/>
      <c r="E378" s="63"/>
      <c r="F378" s="83"/>
      <c r="G378" s="64"/>
      <c r="H378" s="85"/>
      <c r="I378" s="67"/>
      <c r="J378" s="71"/>
      <c r="K378" s="84">
        <f t="shared" si="38"/>
        <v>0</v>
      </c>
      <c r="L378" s="67">
        <f t="shared" si="39"/>
        <v>0</v>
      </c>
    </row>
    <row r="379" spans="1:12" hidden="1" outlineLevel="1" x14ac:dyDescent="0.35">
      <c r="A379" s="55" t="s">
        <v>658</v>
      </c>
      <c r="B379" s="78" t="s">
        <v>659</v>
      </c>
      <c r="C379" s="54" t="s">
        <v>925</v>
      </c>
      <c r="D379" s="85"/>
      <c r="E379" s="63"/>
      <c r="F379" s="83"/>
      <c r="G379" s="64"/>
      <c r="H379" s="85"/>
      <c r="I379" s="67"/>
      <c r="J379" s="71"/>
      <c r="K379" s="84">
        <f t="shared" si="38"/>
        <v>0</v>
      </c>
      <c r="L379" s="67">
        <f t="shared" si="39"/>
        <v>0</v>
      </c>
    </row>
    <row r="380" spans="1:12" hidden="1" outlineLevel="1" x14ac:dyDescent="0.35">
      <c r="A380" s="37" t="s">
        <v>660</v>
      </c>
      <c r="B380" s="62" t="s">
        <v>661</v>
      </c>
      <c r="C380" s="54" t="s">
        <v>925</v>
      </c>
      <c r="D380" s="85"/>
      <c r="E380" s="63"/>
      <c r="F380" s="83"/>
      <c r="G380" s="64"/>
      <c r="H380" s="85"/>
      <c r="I380" s="67"/>
      <c r="J380" s="71"/>
      <c r="K380" s="84">
        <f t="shared" si="38"/>
        <v>0</v>
      </c>
      <c r="L380" s="67">
        <f t="shared" si="39"/>
        <v>0</v>
      </c>
    </row>
    <row r="381" spans="1:12" hidden="1" outlineLevel="1" x14ac:dyDescent="0.35">
      <c r="A381" s="37" t="s">
        <v>662</v>
      </c>
      <c r="B381" s="62" t="s">
        <v>663</v>
      </c>
      <c r="C381" s="54" t="s">
        <v>925</v>
      </c>
      <c r="D381" s="85"/>
      <c r="E381" s="63"/>
      <c r="F381" s="83">
        <v>94886</v>
      </c>
      <c r="G381" s="64">
        <v>56835</v>
      </c>
      <c r="H381" s="85"/>
      <c r="I381" s="67"/>
      <c r="J381" s="71"/>
      <c r="K381" s="84">
        <f t="shared" si="38"/>
        <v>0</v>
      </c>
      <c r="L381" s="67">
        <f t="shared" si="39"/>
        <v>151721</v>
      </c>
    </row>
    <row r="382" spans="1:12" hidden="1" outlineLevel="1" x14ac:dyDescent="0.35">
      <c r="A382" s="37" t="s">
        <v>664</v>
      </c>
      <c r="B382" s="62" t="s">
        <v>665</v>
      </c>
      <c r="C382" s="54" t="s">
        <v>925</v>
      </c>
      <c r="D382" s="85"/>
      <c r="E382" s="63"/>
      <c r="F382" s="83">
        <v>-94886</v>
      </c>
      <c r="G382" s="64">
        <v>-56835</v>
      </c>
      <c r="H382" s="85"/>
      <c r="I382" s="67"/>
      <c r="J382" s="71"/>
      <c r="K382" s="84">
        <f t="shared" si="38"/>
        <v>0</v>
      </c>
      <c r="L382" s="67">
        <f t="shared" si="39"/>
        <v>-151721</v>
      </c>
    </row>
    <row r="383" spans="1:12" hidden="1" outlineLevel="1" x14ac:dyDescent="0.35">
      <c r="A383" s="37" t="s">
        <v>666</v>
      </c>
      <c r="B383" s="62" t="s">
        <v>667</v>
      </c>
      <c r="C383" s="54" t="s">
        <v>925</v>
      </c>
      <c r="D383" s="85"/>
      <c r="E383" s="63"/>
      <c r="F383" s="83"/>
      <c r="G383" s="64">
        <v>9039</v>
      </c>
      <c r="H383" s="85"/>
      <c r="I383" s="67"/>
      <c r="J383" s="71"/>
      <c r="K383" s="84">
        <f t="shared" si="38"/>
        <v>0</v>
      </c>
      <c r="L383" s="67">
        <f t="shared" si="39"/>
        <v>9039</v>
      </c>
    </row>
    <row r="384" spans="1:12" hidden="1" outlineLevel="1" x14ac:dyDescent="0.35">
      <c r="A384" s="37" t="s">
        <v>668</v>
      </c>
      <c r="B384" s="62" t="s">
        <v>669</v>
      </c>
      <c r="C384" s="54" t="s">
        <v>925</v>
      </c>
      <c r="D384" s="85"/>
      <c r="E384" s="63"/>
      <c r="F384" s="83"/>
      <c r="G384" s="64"/>
      <c r="H384" s="85"/>
      <c r="I384" s="67">
        <v>74250</v>
      </c>
      <c r="J384" s="71"/>
      <c r="K384" s="84">
        <f t="shared" si="38"/>
        <v>74250</v>
      </c>
      <c r="L384" s="67">
        <f t="shared" si="39"/>
        <v>74250</v>
      </c>
    </row>
    <row r="385" spans="1:12" hidden="1" outlineLevel="1" x14ac:dyDescent="0.35">
      <c r="A385" s="37" t="s">
        <v>670</v>
      </c>
      <c r="B385" s="62" t="s">
        <v>671</v>
      </c>
      <c r="C385" s="54" t="s">
        <v>925</v>
      </c>
      <c r="D385" s="85"/>
      <c r="E385" s="63"/>
      <c r="F385" s="83"/>
      <c r="G385" s="64"/>
      <c r="H385" s="85"/>
      <c r="I385" s="67"/>
      <c r="J385" s="71"/>
      <c r="K385" s="84">
        <f t="shared" si="38"/>
        <v>0</v>
      </c>
      <c r="L385" s="67">
        <f t="shared" si="39"/>
        <v>0</v>
      </c>
    </row>
    <row r="386" spans="1:12" collapsed="1" x14ac:dyDescent="0.35">
      <c r="A386" s="37"/>
      <c r="B386" s="62" t="s">
        <v>928</v>
      </c>
      <c r="C386" s="54"/>
      <c r="D386" s="85">
        <f>SUM(D387:D391)</f>
        <v>0</v>
      </c>
      <c r="E386" s="65">
        <f t="shared" ref="E386:I386" si="42">SUM(E387:E391)</f>
        <v>0</v>
      </c>
      <c r="F386" s="85">
        <f t="shared" si="42"/>
        <v>69300</v>
      </c>
      <c r="G386" s="65">
        <f t="shared" si="42"/>
        <v>163255</v>
      </c>
      <c r="H386" s="85">
        <f t="shared" si="42"/>
        <v>79460</v>
      </c>
      <c r="I386" s="65">
        <f t="shared" si="42"/>
        <v>0</v>
      </c>
      <c r="J386" s="71"/>
      <c r="K386" s="84">
        <f t="shared" si="38"/>
        <v>0</v>
      </c>
      <c r="L386" s="67">
        <f t="shared" si="39"/>
        <v>312015</v>
      </c>
    </row>
    <row r="387" spans="1:12" hidden="1" outlineLevel="1" x14ac:dyDescent="0.35">
      <c r="A387" s="37" t="s">
        <v>672</v>
      </c>
      <c r="B387" s="62" t="s">
        <v>673</v>
      </c>
      <c r="C387" s="54" t="s">
        <v>928</v>
      </c>
      <c r="D387" s="85"/>
      <c r="E387" s="63"/>
      <c r="F387" s="83"/>
      <c r="G387" s="64">
        <v>86530</v>
      </c>
      <c r="H387" s="85"/>
      <c r="I387" s="67"/>
      <c r="J387" s="71"/>
      <c r="K387" s="84">
        <f t="shared" si="38"/>
        <v>0</v>
      </c>
      <c r="L387" s="67">
        <f t="shared" si="39"/>
        <v>86530</v>
      </c>
    </row>
    <row r="388" spans="1:12" hidden="1" outlineLevel="1" x14ac:dyDescent="0.35">
      <c r="A388" s="37" t="s">
        <v>674</v>
      </c>
      <c r="B388" s="62" t="s">
        <v>46</v>
      </c>
      <c r="C388" s="54" t="s">
        <v>928</v>
      </c>
      <c r="D388" s="85"/>
      <c r="E388" s="63"/>
      <c r="F388" s="83"/>
      <c r="G388" s="64"/>
      <c r="H388" s="85"/>
      <c r="I388" s="67"/>
      <c r="J388" s="71"/>
      <c r="K388" s="84">
        <f t="shared" si="38"/>
        <v>0</v>
      </c>
      <c r="L388" s="67">
        <f t="shared" si="39"/>
        <v>0</v>
      </c>
    </row>
    <row r="389" spans="1:12" hidden="1" outlineLevel="1" x14ac:dyDescent="0.35">
      <c r="A389" s="37" t="s">
        <v>675</v>
      </c>
      <c r="B389" s="62" t="s">
        <v>676</v>
      </c>
      <c r="C389" s="54" t="s">
        <v>928</v>
      </c>
      <c r="D389" s="85"/>
      <c r="E389" s="63"/>
      <c r="F389" s="83">
        <v>69300</v>
      </c>
      <c r="G389" s="64">
        <v>76725</v>
      </c>
      <c r="H389" s="85">
        <v>79460</v>
      </c>
      <c r="I389" s="67"/>
      <c r="J389" s="71"/>
      <c r="K389" s="84">
        <f t="shared" si="38"/>
        <v>0</v>
      </c>
      <c r="L389" s="67">
        <f t="shared" si="39"/>
        <v>225485</v>
      </c>
    </row>
    <row r="390" spans="1:12" hidden="1" outlineLevel="1" x14ac:dyDescent="0.35">
      <c r="A390" s="37" t="s">
        <v>677</v>
      </c>
      <c r="B390" s="62" t="s">
        <v>678</v>
      </c>
      <c r="C390" s="54" t="s">
        <v>928</v>
      </c>
      <c r="D390" s="85"/>
      <c r="E390" s="63"/>
      <c r="F390" s="83"/>
      <c r="G390" s="64"/>
      <c r="H390" s="85"/>
      <c r="I390" s="67"/>
      <c r="J390" s="71"/>
      <c r="K390" s="84">
        <f t="shared" si="38"/>
        <v>0</v>
      </c>
      <c r="L390" s="67">
        <f t="shared" si="39"/>
        <v>0</v>
      </c>
    </row>
    <row r="391" spans="1:12" collapsed="1" x14ac:dyDescent="0.35">
      <c r="A391" s="37" t="s">
        <v>679</v>
      </c>
      <c r="B391" s="62" t="s">
        <v>680</v>
      </c>
      <c r="C391" s="54" t="s">
        <v>929</v>
      </c>
      <c r="D391" s="85"/>
      <c r="E391" s="63"/>
      <c r="F391" s="83"/>
      <c r="G391" s="64"/>
      <c r="H391" s="85"/>
      <c r="I391" s="67"/>
      <c r="J391" s="71"/>
      <c r="K391" s="84">
        <f t="shared" si="38"/>
        <v>0</v>
      </c>
      <c r="L391" s="67">
        <f t="shared" si="39"/>
        <v>0</v>
      </c>
    </row>
    <row r="392" spans="1:12" s="24" customFormat="1" collapsed="1" x14ac:dyDescent="0.35">
      <c r="A392" s="48"/>
      <c r="B392" s="69" t="s">
        <v>930</v>
      </c>
      <c r="C392" s="79"/>
      <c r="D392" s="89">
        <f>SUM(D393:D470)</f>
        <v>692649</v>
      </c>
      <c r="E392" s="80">
        <f t="shared" ref="E392:I392" si="43">SUM(E393:E470)</f>
        <v>539784</v>
      </c>
      <c r="F392" s="89">
        <f>SUM(F393:F471)</f>
        <v>2900131</v>
      </c>
      <c r="G392" s="89">
        <f t="shared" ref="G392:H392" si="44">SUM(G393:G471)</f>
        <v>2172069</v>
      </c>
      <c r="H392" s="89">
        <f t="shared" si="44"/>
        <v>3833667</v>
      </c>
      <c r="I392" s="80">
        <f t="shared" si="43"/>
        <v>148907</v>
      </c>
      <c r="J392" s="71">
        <f>J471</f>
        <v>419284</v>
      </c>
      <c r="K392" s="84">
        <f t="shared" si="38"/>
        <v>568191</v>
      </c>
      <c r="L392" s="67">
        <f t="shared" si="39"/>
        <v>10706491</v>
      </c>
    </row>
    <row r="393" spans="1:12" hidden="1" outlineLevel="1" x14ac:dyDescent="0.35">
      <c r="A393" s="37" t="s">
        <v>681</v>
      </c>
      <c r="B393" s="62" t="s">
        <v>682</v>
      </c>
      <c r="C393" s="54" t="s">
        <v>930</v>
      </c>
      <c r="D393" s="85"/>
      <c r="E393" s="63"/>
      <c r="F393" s="83"/>
      <c r="G393" s="64">
        <v>11322</v>
      </c>
      <c r="H393" s="85"/>
      <c r="I393" s="67"/>
      <c r="J393" s="71"/>
      <c r="K393" s="84">
        <f t="shared" si="38"/>
        <v>0</v>
      </c>
      <c r="L393" s="67">
        <f t="shared" si="39"/>
        <v>11322</v>
      </c>
    </row>
    <row r="394" spans="1:12" hidden="1" outlineLevel="1" x14ac:dyDescent="0.35">
      <c r="A394" s="37" t="s">
        <v>683</v>
      </c>
      <c r="B394" s="62" t="s">
        <v>684</v>
      </c>
      <c r="C394" s="54" t="s">
        <v>930</v>
      </c>
      <c r="D394" s="85"/>
      <c r="E394" s="63"/>
      <c r="F394" s="83"/>
      <c r="G394" s="64"/>
      <c r="H394" s="85"/>
      <c r="I394" s="67"/>
      <c r="J394" s="71"/>
      <c r="K394" s="84">
        <f t="shared" si="38"/>
        <v>0</v>
      </c>
      <c r="L394" s="67">
        <f t="shared" si="39"/>
        <v>0</v>
      </c>
    </row>
    <row r="395" spans="1:12" hidden="1" outlineLevel="1" x14ac:dyDescent="0.35">
      <c r="A395" s="37" t="s">
        <v>685</v>
      </c>
      <c r="B395" s="62" t="s">
        <v>686</v>
      </c>
      <c r="C395" s="54" t="s">
        <v>930</v>
      </c>
      <c r="D395" s="85"/>
      <c r="E395" s="63"/>
      <c r="F395" s="83"/>
      <c r="G395" s="64"/>
      <c r="H395" s="85"/>
      <c r="I395" s="67"/>
      <c r="J395" s="71"/>
      <c r="K395" s="84">
        <f t="shared" si="38"/>
        <v>0</v>
      </c>
      <c r="L395" s="67">
        <f t="shared" si="39"/>
        <v>0</v>
      </c>
    </row>
    <row r="396" spans="1:12" hidden="1" outlineLevel="1" x14ac:dyDescent="0.35">
      <c r="A396" s="37" t="s">
        <v>687</v>
      </c>
      <c r="B396" s="62" t="s">
        <v>688</v>
      </c>
      <c r="C396" s="54" t="s">
        <v>930</v>
      </c>
      <c r="D396" s="85"/>
      <c r="E396" s="63"/>
      <c r="F396" s="83"/>
      <c r="G396" s="64"/>
      <c r="H396" s="85"/>
      <c r="I396" s="67"/>
      <c r="J396" s="71"/>
      <c r="K396" s="84">
        <f t="shared" si="38"/>
        <v>0</v>
      </c>
      <c r="L396" s="67">
        <f t="shared" si="39"/>
        <v>0</v>
      </c>
    </row>
    <row r="397" spans="1:12" hidden="1" outlineLevel="1" x14ac:dyDescent="0.35">
      <c r="A397" s="37" t="s">
        <v>689</v>
      </c>
      <c r="B397" s="62" t="s">
        <v>690</v>
      </c>
      <c r="C397" s="54" t="s">
        <v>930</v>
      </c>
      <c r="D397" s="85"/>
      <c r="E397" s="63"/>
      <c r="F397" s="83"/>
      <c r="G397" s="64"/>
      <c r="H397" s="85"/>
      <c r="I397" s="67"/>
      <c r="J397" s="71"/>
      <c r="K397" s="84">
        <f t="shared" si="38"/>
        <v>0</v>
      </c>
      <c r="L397" s="67">
        <f t="shared" si="39"/>
        <v>0</v>
      </c>
    </row>
    <row r="398" spans="1:12" hidden="1" outlineLevel="1" x14ac:dyDescent="0.35">
      <c r="A398" s="37" t="s">
        <v>691</v>
      </c>
      <c r="B398" s="62" t="s">
        <v>692</v>
      </c>
      <c r="C398" s="54" t="s">
        <v>930</v>
      </c>
      <c r="D398" s="85"/>
      <c r="E398" s="63"/>
      <c r="F398" s="83">
        <f>21529+221366</f>
        <v>242895</v>
      </c>
      <c r="G398" s="64">
        <v>68530</v>
      </c>
      <c r="H398" s="85">
        <v>107859</v>
      </c>
      <c r="I398" s="67">
        <f>6526+6526+41+6526+6526+36</f>
        <v>26181</v>
      </c>
      <c r="J398" s="71"/>
      <c r="K398" s="84">
        <f t="shared" ref="K398:K461" si="45">J398+I398</f>
        <v>26181</v>
      </c>
      <c r="L398" s="67">
        <f t="shared" ref="L398:L461" si="46">K398+D398+E398+F398+G398+H398</f>
        <v>445465</v>
      </c>
    </row>
    <row r="399" spans="1:12" hidden="1" outlineLevel="1" x14ac:dyDescent="0.35">
      <c r="A399" s="37" t="s">
        <v>693</v>
      </c>
      <c r="B399" s="62" t="s">
        <v>694</v>
      </c>
      <c r="C399" s="54" t="s">
        <v>930</v>
      </c>
      <c r="D399" s="85"/>
      <c r="E399" s="63"/>
      <c r="F399" s="83">
        <v>1066</v>
      </c>
      <c r="G399" s="64">
        <v>5635</v>
      </c>
      <c r="H399" s="85">
        <v>13531</v>
      </c>
      <c r="I399" s="67"/>
      <c r="J399" s="71"/>
      <c r="K399" s="84">
        <f t="shared" si="45"/>
        <v>0</v>
      </c>
      <c r="L399" s="67">
        <f t="shared" si="46"/>
        <v>20232</v>
      </c>
    </row>
    <row r="400" spans="1:12" hidden="1" outlineLevel="1" x14ac:dyDescent="0.35">
      <c r="A400" s="37" t="s">
        <v>695</v>
      </c>
      <c r="B400" s="62" t="s">
        <v>696</v>
      </c>
      <c r="C400" s="54" t="s">
        <v>930</v>
      </c>
      <c r="D400" s="85">
        <v>6791</v>
      </c>
      <c r="E400" s="63">
        <v>14898</v>
      </c>
      <c r="F400" s="83"/>
      <c r="G400" s="64">
        <v>2266</v>
      </c>
      <c r="H400" s="85"/>
      <c r="I400" s="67"/>
      <c r="J400" s="71"/>
      <c r="K400" s="84">
        <f t="shared" si="45"/>
        <v>0</v>
      </c>
      <c r="L400" s="67">
        <f t="shared" si="46"/>
        <v>23955</v>
      </c>
    </row>
    <row r="401" spans="1:12" hidden="1" outlineLevel="1" x14ac:dyDescent="0.35">
      <c r="A401" s="37" t="s">
        <v>697</v>
      </c>
      <c r="B401" s="62" t="s">
        <v>698</v>
      </c>
      <c r="C401" s="54" t="s">
        <v>930</v>
      </c>
      <c r="D401" s="85">
        <v>19214</v>
      </c>
      <c r="E401" s="63">
        <v>52228</v>
      </c>
      <c r="F401" s="83">
        <v>46986</v>
      </c>
      <c r="G401" s="64">
        <v>70170</v>
      </c>
      <c r="H401" s="85">
        <v>92055</v>
      </c>
      <c r="I401" s="67"/>
      <c r="J401" s="71"/>
      <c r="K401" s="84">
        <f t="shared" si="45"/>
        <v>0</v>
      </c>
      <c r="L401" s="67">
        <f t="shared" si="46"/>
        <v>280653</v>
      </c>
    </row>
    <row r="402" spans="1:12" hidden="1" outlineLevel="1" x14ac:dyDescent="0.35">
      <c r="A402" s="37" t="s">
        <v>699</v>
      </c>
      <c r="B402" s="62" t="s">
        <v>700</v>
      </c>
      <c r="C402" s="54" t="s">
        <v>930</v>
      </c>
      <c r="D402" s="83" t="s">
        <v>1283</v>
      </c>
      <c r="E402" s="63"/>
      <c r="F402" s="83"/>
      <c r="G402" s="64">
        <v>1484</v>
      </c>
      <c r="H402" s="85">
        <v>39062</v>
      </c>
      <c r="I402" s="67"/>
      <c r="J402" s="71"/>
      <c r="K402" s="84">
        <f t="shared" si="45"/>
        <v>0</v>
      </c>
      <c r="L402" s="67" t="e">
        <f t="shared" si="46"/>
        <v>#VALUE!</v>
      </c>
    </row>
    <row r="403" spans="1:12" hidden="1" outlineLevel="1" x14ac:dyDescent="0.35">
      <c r="A403" s="37" t="s">
        <v>701</v>
      </c>
      <c r="B403" s="62" t="s">
        <v>702</v>
      </c>
      <c r="C403" s="54" t="s">
        <v>930</v>
      </c>
      <c r="D403" s="85"/>
      <c r="E403" s="63"/>
      <c r="F403" s="83"/>
      <c r="G403" s="64">
        <v>4811</v>
      </c>
      <c r="H403" s="85"/>
      <c r="I403" s="67"/>
      <c r="J403" s="71"/>
      <c r="K403" s="84">
        <f t="shared" si="45"/>
        <v>0</v>
      </c>
      <c r="L403" s="67">
        <f t="shared" si="46"/>
        <v>4811</v>
      </c>
    </row>
    <row r="404" spans="1:12" hidden="1" outlineLevel="1" x14ac:dyDescent="0.35">
      <c r="A404" s="37" t="s">
        <v>703</v>
      </c>
      <c r="B404" s="62" t="s">
        <v>704</v>
      </c>
      <c r="C404" s="54" t="s">
        <v>930</v>
      </c>
      <c r="D404" s="85"/>
      <c r="E404" s="63"/>
      <c r="F404" s="83">
        <f>2125+13894</f>
        <v>16019</v>
      </c>
      <c r="G404" s="64"/>
      <c r="H404" s="85"/>
      <c r="I404" s="67"/>
      <c r="J404" s="71"/>
      <c r="K404" s="84">
        <f t="shared" si="45"/>
        <v>0</v>
      </c>
      <c r="L404" s="67">
        <f t="shared" si="46"/>
        <v>16019</v>
      </c>
    </row>
    <row r="405" spans="1:12" hidden="1" outlineLevel="1" x14ac:dyDescent="0.35">
      <c r="A405" s="37" t="s">
        <v>705</v>
      </c>
      <c r="B405" s="62" t="s">
        <v>706</v>
      </c>
      <c r="C405" s="54" t="s">
        <v>930</v>
      </c>
      <c r="D405" s="85"/>
      <c r="E405" s="63"/>
      <c r="F405" s="83"/>
      <c r="G405" s="64">
        <v>384334</v>
      </c>
      <c r="H405" s="85"/>
      <c r="I405" s="67"/>
      <c r="J405" s="71"/>
      <c r="K405" s="84">
        <f t="shared" si="45"/>
        <v>0</v>
      </c>
      <c r="L405" s="67">
        <f t="shared" si="46"/>
        <v>384334</v>
      </c>
    </row>
    <row r="406" spans="1:12" hidden="1" outlineLevel="1" x14ac:dyDescent="0.35">
      <c r="A406" s="37" t="s">
        <v>707</v>
      </c>
      <c r="B406" s="62" t="s">
        <v>708</v>
      </c>
      <c r="C406" s="54" t="s">
        <v>930</v>
      </c>
      <c r="D406" s="85"/>
      <c r="E406" s="63"/>
      <c r="F406" s="83"/>
      <c r="G406" s="64">
        <v>500</v>
      </c>
      <c r="H406" s="85"/>
      <c r="I406" s="67"/>
      <c r="J406" s="71"/>
      <c r="K406" s="84">
        <f t="shared" si="45"/>
        <v>0</v>
      </c>
      <c r="L406" s="67">
        <f t="shared" si="46"/>
        <v>500</v>
      </c>
    </row>
    <row r="407" spans="1:12" hidden="1" outlineLevel="1" x14ac:dyDescent="0.35">
      <c r="A407" s="37" t="s">
        <v>709</v>
      </c>
      <c r="B407" s="62" t="s">
        <v>710</v>
      </c>
      <c r="C407" s="54" t="s">
        <v>930</v>
      </c>
      <c r="D407" s="85"/>
      <c r="E407" s="63"/>
      <c r="F407" s="83"/>
      <c r="G407" s="64"/>
      <c r="H407" s="85"/>
      <c r="I407" s="67"/>
      <c r="J407" s="71"/>
      <c r="K407" s="84">
        <f t="shared" si="45"/>
        <v>0</v>
      </c>
      <c r="L407" s="67">
        <f t="shared" si="46"/>
        <v>0</v>
      </c>
    </row>
    <row r="408" spans="1:12" hidden="1" outlineLevel="1" x14ac:dyDescent="0.35">
      <c r="A408" s="37" t="s">
        <v>711</v>
      </c>
      <c r="B408" s="62" t="s">
        <v>712</v>
      </c>
      <c r="C408" s="54" t="s">
        <v>930</v>
      </c>
      <c r="D408" s="85"/>
      <c r="E408" s="63"/>
      <c r="F408" s="83"/>
      <c r="G408" s="64">
        <v>8345</v>
      </c>
      <c r="H408" s="85">
        <v>87446</v>
      </c>
      <c r="I408" s="67"/>
      <c r="J408" s="71"/>
      <c r="K408" s="84">
        <f t="shared" si="45"/>
        <v>0</v>
      </c>
      <c r="L408" s="67">
        <f t="shared" si="46"/>
        <v>95791</v>
      </c>
    </row>
    <row r="409" spans="1:12" hidden="1" outlineLevel="1" x14ac:dyDescent="0.35">
      <c r="A409" s="37" t="s">
        <v>713</v>
      </c>
      <c r="B409" s="62" t="s">
        <v>714</v>
      </c>
      <c r="C409" s="54" t="s">
        <v>930</v>
      </c>
      <c r="D409" s="85"/>
      <c r="E409" s="63"/>
      <c r="F409" s="83"/>
      <c r="G409" s="64">
        <v>7675</v>
      </c>
      <c r="H409" s="85"/>
      <c r="I409" s="67"/>
      <c r="J409" s="71"/>
      <c r="K409" s="84">
        <f t="shared" si="45"/>
        <v>0</v>
      </c>
      <c r="L409" s="67">
        <f t="shared" si="46"/>
        <v>7675</v>
      </c>
    </row>
    <row r="410" spans="1:12" hidden="1" outlineLevel="1" x14ac:dyDescent="0.35">
      <c r="A410" s="37" t="s">
        <v>715</v>
      </c>
      <c r="B410" s="62" t="s">
        <v>716</v>
      </c>
      <c r="C410" s="54" t="s">
        <v>930</v>
      </c>
      <c r="D410" s="85"/>
      <c r="E410" s="63"/>
      <c r="F410" s="83"/>
      <c r="G410" s="64"/>
      <c r="H410" s="85"/>
      <c r="I410" s="67"/>
      <c r="J410" s="71"/>
      <c r="K410" s="84">
        <f t="shared" si="45"/>
        <v>0</v>
      </c>
      <c r="L410" s="67">
        <f t="shared" si="46"/>
        <v>0</v>
      </c>
    </row>
    <row r="411" spans="1:12" hidden="1" outlineLevel="1" x14ac:dyDescent="0.35">
      <c r="A411" s="37" t="s">
        <v>717</v>
      </c>
      <c r="B411" s="62" t="s">
        <v>718</v>
      </c>
      <c r="C411" s="54" t="s">
        <v>930</v>
      </c>
      <c r="D411" s="85"/>
      <c r="E411" s="63"/>
      <c r="F411" s="83"/>
      <c r="G411" s="64"/>
      <c r="H411" s="85"/>
      <c r="I411" s="67"/>
      <c r="J411" s="71"/>
      <c r="K411" s="84">
        <f t="shared" si="45"/>
        <v>0</v>
      </c>
      <c r="L411" s="67">
        <f t="shared" si="46"/>
        <v>0</v>
      </c>
    </row>
    <row r="412" spans="1:12" hidden="1" outlineLevel="1" x14ac:dyDescent="0.35">
      <c r="A412" s="37" t="s">
        <v>719</v>
      </c>
      <c r="B412" s="62" t="s">
        <v>720</v>
      </c>
      <c r="C412" s="54" t="s">
        <v>930</v>
      </c>
      <c r="D412" s="85">
        <v>201593</v>
      </c>
      <c r="E412" s="63">
        <v>9299</v>
      </c>
      <c r="F412" s="83"/>
      <c r="G412" s="64">
        <v>43183</v>
      </c>
      <c r="H412" s="85">
        <v>40885</v>
      </c>
      <c r="I412" s="67"/>
      <c r="J412" s="71"/>
      <c r="K412" s="84">
        <f t="shared" si="45"/>
        <v>0</v>
      </c>
      <c r="L412" s="67">
        <f t="shared" si="46"/>
        <v>294960</v>
      </c>
    </row>
    <row r="413" spans="1:12" hidden="1" outlineLevel="1" x14ac:dyDescent="0.35">
      <c r="A413" s="37" t="s">
        <v>721</v>
      </c>
      <c r="B413" s="62" t="s">
        <v>722</v>
      </c>
      <c r="C413" s="54" t="s">
        <v>930</v>
      </c>
      <c r="D413" s="85">
        <v>77210</v>
      </c>
      <c r="E413" s="63">
        <f>235913+10875+4000</f>
        <v>250788</v>
      </c>
      <c r="F413" s="83">
        <v>265615</v>
      </c>
      <c r="G413" s="64">
        <v>272423</v>
      </c>
      <c r="H413" s="85">
        <v>262158</v>
      </c>
      <c r="I413" s="67"/>
      <c r="J413" s="71"/>
      <c r="K413" s="84">
        <f t="shared" si="45"/>
        <v>0</v>
      </c>
      <c r="L413" s="67">
        <f t="shared" si="46"/>
        <v>1128194</v>
      </c>
    </row>
    <row r="414" spans="1:12" hidden="1" outlineLevel="1" x14ac:dyDescent="0.35">
      <c r="A414" s="37" t="s">
        <v>723</v>
      </c>
      <c r="B414" s="62" t="s">
        <v>724</v>
      </c>
      <c r="C414" s="54" t="s">
        <v>930</v>
      </c>
      <c r="D414" s="85">
        <v>3649</v>
      </c>
      <c r="E414" s="63">
        <f>280187+5959-246788</f>
        <v>39358</v>
      </c>
      <c r="F414" s="83">
        <v>433283</v>
      </c>
      <c r="G414" s="64">
        <v>135935</v>
      </c>
      <c r="H414" s="85">
        <f>18578+38503</f>
        <v>57081</v>
      </c>
      <c r="I414" s="67">
        <v>460</v>
      </c>
      <c r="J414" s="71"/>
      <c r="K414" s="84">
        <f t="shared" si="45"/>
        <v>460</v>
      </c>
      <c r="L414" s="67">
        <f t="shared" si="46"/>
        <v>669766</v>
      </c>
    </row>
    <row r="415" spans="1:12" hidden="1" outlineLevel="1" x14ac:dyDescent="0.35">
      <c r="A415" s="37" t="s">
        <v>725</v>
      </c>
      <c r="B415" s="62" t="s">
        <v>726</v>
      </c>
      <c r="C415" s="54" t="s">
        <v>930</v>
      </c>
      <c r="D415" s="85"/>
      <c r="E415" s="63"/>
      <c r="F415" s="83"/>
      <c r="G415" s="64">
        <v>616</v>
      </c>
      <c r="H415" s="85"/>
      <c r="I415" s="67"/>
      <c r="J415" s="71"/>
      <c r="K415" s="84">
        <f t="shared" si="45"/>
        <v>0</v>
      </c>
      <c r="L415" s="67">
        <f t="shared" si="46"/>
        <v>616</v>
      </c>
    </row>
    <row r="416" spans="1:12" hidden="1" outlineLevel="1" x14ac:dyDescent="0.35">
      <c r="A416" s="37" t="s">
        <v>727</v>
      </c>
      <c r="B416" s="62" t="s">
        <v>728</v>
      </c>
      <c r="C416" s="54" t="s">
        <v>930</v>
      </c>
      <c r="D416" s="85"/>
      <c r="E416" s="63"/>
      <c r="F416" s="83"/>
      <c r="G416" s="64">
        <v>494</v>
      </c>
      <c r="H416" s="85"/>
      <c r="I416" s="67"/>
      <c r="J416" s="71"/>
      <c r="K416" s="84">
        <f t="shared" si="45"/>
        <v>0</v>
      </c>
      <c r="L416" s="67">
        <f t="shared" si="46"/>
        <v>494</v>
      </c>
    </row>
    <row r="417" spans="1:12" hidden="1" outlineLevel="1" x14ac:dyDescent="0.35">
      <c r="A417" s="37" t="s">
        <v>729</v>
      </c>
      <c r="B417" s="62" t="s">
        <v>730</v>
      </c>
      <c r="C417" s="54" t="s">
        <v>930</v>
      </c>
      <c r="D417" s="85"/>
      <c r="E417" s="63"/>
      <c r="F417" s="83"/>
      <c r="G417" s="64"/>
      <c r="H417" s="85"/>
      <c r="I417" s="67"/>
      <c r="J417" s="71"/>
      <c r="K417" s="84">
        <f t="shared" si="45"/>
        <v>0</v>
      </c>
      <c r="L417" s="67">
        <f t="shared" si="46"/>
        <v>0</v>
      </c>
    </row>
    <row r="418" spans="1:12" hidden="1" outlineLevel="1" x14ac:dyDescent="0.35">
      <c r="A418" s="37" t="s">
        <v>731</v>
      </c>
      <c r="B418" s="62" t="s">
        <v>732</v>
      </c>
      <c r="C418" s="54" t="s">
        <v>930</v>
      </c>
      <c r="D418" s="85"/>
      <c r="E418" s="63"/>
      <c r="F418" s="83"/>
      <c r="G418" s="64">
        <v>30215</v>
      </c>
      <c r="H418" s="85">
        <v>5023</v>
      </c>
      <c r="I418" s="67"/>
      <c r="J418" s="71"/>
      <c r="K418" s="84">
        <f t="shared" si="45"/>
        <v>0</v>
      </c>
      <c r="L418" s="67">
        <f t="shared" si="46"/>
        <v>35238</v>
      </c>
    </row>
    <row r="419" spans="1:12" hidden="1" outlineLevel="1" x14ac:dyDescent="0.35">
      <c r="A419" s="37" t="s">
        <v>733</v>
      </c>
      <c r="B419" s="62" t="s">
        <v>734</v>
      </c>
      <c r="C419" s="54" t="s">
        <v>930</v>
      </c>
      <c r="D419" s="85"/>
      <c r="E419" s="63">
        <f>2761+49017</f>
        <v>51778</v>
      </c>
      <c r="F419" s="83"/>
      <c r="G419" s="64">
        <v>59139</v>
      </c>
      <c r="H419" s="85"/>
      <c r="I419" s="67"/>
      <c r="J419" s="71"/>
      <c r="K419" s="84">
        <f t="shared" si="45"/>
        <v>0</v>
      </c>
      <c r="L419" s="67">
        <f t="shared" si="46"/>
        <v>110917</v>
      </c>
    </row>
    <row r="420" spans="1:12" hidden="1" outlineLevel="1" x14ac:dyDescent="0.35">
      <c r="A420" s="37" t="s">
        <v>735</v>
      </c>
      <c r="B420" s="62" t="s">
        <v>736</v>
      </c>
      <c r="C420" s="54" t="s">
        <v>930</v>
      </c>
      <c r="D420" s="85">
        <v>336</v>
      </c>
      <c r="E420" s="63">
        <v>26580</v>
      </c>
      <c r="F420" s="83">
        <v>521420</v>
      </c>
      <c r="G420" s="64">
        <v>484633</v>
      </c>
      <c r="H420" s="85">
        <v>276067</v>
      </c>
      <c r="I420" s="67"/>
      <c r="J420" s="71"/>
      <c r="K420" s="84">
        <f t="shared" si="45"/>
        <v>0</v>
      </c>
      <c r="L420" s="67">
        <f t="shared" si="46"/>
        <v>1309036</v>
      </c>
    </row>
    <row r="421" spans="1:12" hidden="1" outlineLevel="1" x14ac:dyDescent="0.35">
      <c r="A421" s="37" t="s">
        <v>737</v>
      </c>
      <c r="B421" s="62" t="s">
        <v>738</v>
      </c>
      <c r="C421" s="54" t="s">
        <v>930</v>
      </c>
      <c r="D421" s="85"/>
      <c r="E421" s="63"/>
      <c r="F421" s="83"/>
      <c r="G421" s="64"/>
      <c r="H421" s="85"/>
      <c r="I421" s="67"/>
      <c r="J421" s="71"/>
      <c r="K421" s="84">
        <f t="shared" si="45"/>
        <v>0</v>
      </c>
      <c r="L421" s="67">
        <f t="shared" si="46"/>
        <v>0</v>
      </c>
    </row>
    <row r="422" spans="1:12" hidden="1" outlineLevel="1" x14ac:dyDescent="0.35">
      <c r="A422" s="37" t="s">
        <v>739</v>
      </c>
      <c r="B422" s="62" t="s">
        <v>740</v>
      </c>
      <c r="C422" s="54" t="s">
        <v>930</v>
      </c>
      <c r="D422" s="85">
        <v>296708</v>
      </c>
      <c r="E422" s="63"/>
      <c r="F422" s="83"/>
      <c r="G422" s="64"/>
      <c r="H422" s="85">
        <v>2198103</v>
      </c>
      <c r="I422" s="67"/>
      <c r="J422" s="71"/>
      <c r="K422" s="84">
        <f t="shared" si="45"/>
        <v>0</v>
      </c>
      <c r="L422" s="67">
        <f t="shared" si="46"/>
        <v>2494811</v>
      </c>
    </row>
    <row r="423" spans="1:12" hidden="1" outlineLevel="1" x14ac:dyDescent="0.35">
      <c r="A423" s="37" t="s">
        <v>741</v>
      </c>
      <c r="B423" s="62" t="s">
        <v>742</v>
      </c>
      <c r="C423" s="54" t="s">
        <v>930</v>
      </c>
      <c r="D423" s="85">
        <v>1144</v>
      </c>
      <c r="E423" s="63"/>
      <c r="F423" s="83"/>
      <c r="G423" s="64">
        <v>15828</v>
      </c>
      <c r="H423" s="85">
        <f>17248+119951</f>
        <v>137199</v>
      </c>
      <c r="I423" s="67"/>
      <c r="J423" s="71"/>
      <c r="K423" s="84">
        <f t="shared" si="45"/>
        <v>0</v>
      </c>
      <c r="L423" s="67">
        <f t="shared" si="46"/>
        <v>154171</v>
      </c>
    </row>
    <row r="424" spans="1:12" hidden="1" outlineLevel="1" x14ac:dyDescent="0.35">
      <c r="A424" s="37" t="s">
        <v>743</v>
      </c>
      <c r="B424" s="62" t="s">
        <v>744</v>
      </c>
      <c r="C424" s="54" t="s">
        <v>930</v>
      </c>
      <c r="D424" s="85"/>
      <c r="E424" s="63"/>
      <c r="F424" s="83"/>
      <c r="G424" s="64"/>
      <c r="H424" s="85"/>
      <c r="I424" s="67"/>
      <c r="J424" s="71"/>
      <c r="K424" s="84">
        <f t="shared" si="45"/>
        <v>0</v>
      </c>
      <c r="L424" s="67">
        <f t="shared" si="46"/>
        <v>0</v>
      </c>
    </row>
    <row r="425" spans="1:12" hidden="1" outlineLevel="1" x14ac:dyDescent="0.35">
      <c r="A425" s="37" t="s">
        <v>745</v>
      </c>
      <c r="B425" s="62" t="s">
        <v>746</v>
      </c>
      <c r="C425" s="54" t="s">
        <v>930</v>
      </c>
      <c r="D425" s="85"/>
      <c r="E425" s="63"/>
      <c r="F425" s="83">
        <v>266059</v>
      </c>
      <c r="G425" s="64">
        <v>149263</v>
      </c>
      <c r="H425" s="85">
        <v>100270</v>
      </c>
      <c r="I425" s="67">
        <f>9003+3706+4275+4513+7603</f>
        <v>29100</v>
      </c>
      <c r="J425" s="71"/>
      <c r="K425" s="84">
        <f t="shared" si="45"/>
        <v>29100</v>
      </c>
      <c r="L425" s="67">
        <f t="shared" si="46"/>
        <v>544692</v>
      </c>
    </row>
    <row r="426" spans="1:12" hidden="1" outlineLevel="1" x14ac:dyDescent="0.35">
      <c r="A426" s="37" t="s">
        <v>747</v>
      </c>
      <c r="B426" s="62" t="s">
        <v>748</v>
      </c>
      <c r="C426" s="54" t="s">
        <v>930</v>
      </c>
      <c r="D426" s="85">
        <v>2685</v>
      </c>
      <c r="E426" s="63">
        <f>2800+3250+6500</f>
        <v>12550</v>
      </c>
      <c r="F426" s="83"/>
      <c r="G426" s="64">
        <v>21134</v>
      </c>
      <c r="H426" s="85"/>
      <c r="I426" s="67">
        <f>4793+308+251+260</f>
        <v>5612</v>
      </c>
      <c r="J426" s="71"/>
      <c r="K426" s="84">
        <f t="shared" si="45"/>
        <v>5612</v>
      </c>
      <c r="L426" s="67">
        <f t="shared" si="46"/>
        <v>41981</v>
      </c>
    </row>
    <row r="427" spans="1:12" hidden="1" outlineLevel="1" x14ac:dyDescent="0.35">
      <c r="A427" s="37" t="s">
        <v>749</v>
      </c>
      <c r="B427" s="62" t="s">
        <v>750</v>
      </c>
      <c r="C427" s="54" t="s">
        <v>930</v>
      </c>
      <c r="D427" s="85"/>
      <c r="E427" s="63"/>
      <c r="F427" s="83"/>
      <c r="G427" s="64">
        <v>42900</v>
      </c>
      <c r="H427" s="85"/>
      <c r="I427" s="67"/>
      <c r="J427" s="71"/>
      <c r="K427" s="84">
        <f t="shared" si="45"/>
        <v>0</v>
      </c>
      <c r="L427" s="67">
        <f t="shared" si="46"/>
        <v>42900</v>
      </c>
    </row>
    <row r="428" spans="1:12" hidden="1" outlineLevel="1" x14ac:dyDescent="0.35">
      <c r="A428" s="37" t="s">
        <v>751</v>
      </c>
      <c r="B428" s="62" t="s">
        <v>752</v>
      </c>
      <c r="C428" s="54" t="s">
        <v>930</v>
      </c>
      <c r="D428" s="85"/>
      <c r="E428" s="63"/>
      <c r="F428" s="83"/>
      <c r="G428" s="64"/>
      <c r="H428" s="85"/>
      <c r="I428" s="67"/>
      <c r="J428" s="71"/>
      <c r="K428" s="84">
        <f t="shared" si="45"/>
        <v>0</v>
      </c>
      <c r="L428" s="67">
        <f t="shared" si="46"/>
        <v>0</v>
      </c>
    </row>
    <row r="429" spans="1:12" hidden="1" outlineLevel="1" x14ac:dyDescent="0.35">
      <c r="A429" s="37" t="s">
        <v>753</v>
      </c>
      <c r="B429" s="62" t="s">
        <v>754</v>
      </c>
      <c r="C429" s="54" t="s">
        <v>930</v>
      </c>
      <c r="D429" s="85"/>
      <c r="E429" s="63"/>
      <c r="F429" s="83">
        <v>8978</v>
      </c>
      <c r="G429" s="64">
        <v>12005</v>
      </c>
      <c r="H429" s="85"/>
      <c r="I429" s="67">
        <v>30000</v>
      </c>
      <c r="J429" s="71"/>
      <c r="K429" s="84">
        <f t="shared" si="45"/>
        <v>30000</v>
      </c>
      <c r="L429" s="67">
        <f t="shared" si="46"/>
        <v>50983</v>
      </c>
    </row>
    <row r="430" spans="1:12" hidden="1" outlineLevel="1" x14ac:dyDescent="0.35">
      <c r="A430" s="37" t="s">
        <v>755</v>
      </c>
      <c r="B430" s="62" t="s">
        <v>756</v>
      </c>
      <c r="C430" s="54" t="s">
        <v>930</v>
      </c>
      <c r="D430" s="85">
        <v>11338</v>
      </c>
      <c r="E430" s="63">
        <f>17620-E426</f>
        <v>5070</v>
      </c>
      <c r="F430" s="83">
        <v>8446</v>
      </c>
      <c r="G430" s="64">
        <v>1708</v>
      </c>
      <c r="H430" s="85">
        <f>2467+10249</f>
        <v>12716</v>
      </c>
      <c r="I430" s="67">
        <v>254</v>
      </c>
      <c r="J430" s="71"/>
      <c r="K430" s="84">
        <f t="shared" si="45"/>
        <v>254</v>
      </c>
      <c r="L430" s="67">
        <f t="shared" si="46"/>
        <v>39532</v>
      </c>
    </row>
    <row r="431" spans="1:12" hidden="1" outlineLevel="1" x14ac:dyDescent="0.35">
      <c r="A431" s="37" t="s">
        <v>757</v>
      </c>
      <c r="B431" s="62" t="s">
        <v>758</v>
      </c>
      <c r="C431" s="54" t="s">
        <v>930</v>
      </c>
      <c r="D431" s="85"/>
      <c r="E431" s="63"/>
      <c r="F431" s="83"/>
      <c r="G431" s="64"/>
      <c r="H431" s="85"/>
      <c r="I431" s="67"/>
      <c r="J431" s="71"/>
      <c r="K431" s="84">
        <f t="shared" si="45"/>
        <v>0</v>
      </c>
      <c r="L431" s="67">
        <f t="shared" si="46"/>
        <v>0</v>
      </c>
    </row>
    <row r="432" spans="1:12" hidden="1" outlineLevel="1" x14ac:dyDescent="0.35">
      <c r="A432" s="37" t="s">
        <v>759</v>
      </c>
      <c r="B432" s="62" t="s">
        <v>760</v>
      </c>
      <c r="C432" s="54" t="s">
        <v>930</v>
      </c>
      <c r="D432" s="85"/>
      <c r="E432" s="63"/>
      <c r="F432" s="83"/>
      <c r="G432" s="64">
        <v>30400</v>
      </c>
      <c r="H432" s="85"/>
      <c r="I432" s="67"/>
      <c r="J432" s="71"/>
      <c r="K432" s="84">
        <f t="shared" si="45"/>
        <v>0</v>
      </c>
      <c r="L432" s="67">
        <f t="shared" si="46"/>
        <v>30400</v>
      </c>
    </row>
    <row r="433" spans="1:12" hidden="1" outlineLevel="1" x14ac:dyDescent="0.35">
      <c r="A433" s="37" t="s">
        <v>761</v>
      </c>
      <c r="B433" s="62" t="s">
        <v>762</v>
      </c>
      <c r="C433" s="54" t="s">
        <v>930</v>
      </c>
      <c r="D433" s="85"/>
      <c r="E433" s="63"/>
      <c r="F433" s="83"/>
      <c r="G433" s="64"/>
      <c r="H433" s="85"/>
      <c r="I433" s="67"/>
      <c r="J433" s="71"/>
      <c r="K433" s="84">
        <f t="shared" si="45"/>
        <v>0</v>
      </c>
      <c r="L433" s="67">
        <f t="shared" si="46"/>
        <v>0</v>
      </c>
    </row>
    <row r="434" spans="1:12" hidden="1" outlineLevel="1" x14ac:dyDescent="0.35">
      <c r="A434" s="37" t="s">
        <v>763</v>
      </c>
      <c r="B434" s="62" t="s">
        <v>764</v>
      </c>
      <c r="C434" s="54" t="s">
        <v>930</v>
      </c>
      <c r="D434" s="85"/>
      <c r="E434" s="63"/>
      <c r="F434" s="83">
        <v>133180</v>
      </c>
      <c r="G434" s="64">
        <v>14020</v>
      </c>
      <c r="H434" s="85"/>
      <c r="I434" s="67">
        <f>1910+3300+1830+930</f>
        <v>7970</v>
      </c>
      <c r="J434" s="71"/>
      <c r="K434" s="84">
        <f t="shared" si="45"/>
        <v>7970</v>
      </c>
      <c r="L434" s="67">
        <f>K434+D434+E434+F434+G434+H434</f>
        <v>155170</v>
      </c>
    </row>
    <row r="435" spans="1:12" hidden="1" outlineLevel="1" x14ac:dyDescent="0.35">
      <c r="A435" s="37" t="s">
        <v>765</v>
      </c>
      <c r="B435" s="62" t="s">
        <v>766</v>
      </c>
      <c r="C435" s="54" t="s">
        <v>930</v>
      </c>
      <c r="D435" s="85">
        <v>9500</v>
      </c>
      <c r="E435" s="63">
        <f>215+392+191+1013+279+77+573+2305+127+1017</f>
        <v>6189</v>
      </c>
      <c r="F435" s="83">
        <v>210079</v>
      </c>
      <c r="G435" s="64">
        <v>57943</v>
      </c>
      <c r="H435" s="85">
        <v>121492</v>
      </c>
      <c r="I435" s="67">
        <f>129+103+107+1348</f>
        <v>1687</v>
      </c>
      <c r="J435" s="71"/>
      <c r="K435" s="84">
        <f t="shared" si="45"/>
        <v>1687</v>
      </c>
      <c r="L435" s="67">
        <f>K435+D435+E435+F435+G435+H435</f>
        <v>406890</v>
      </c>
    </row>
    <row r="436" spans="1:12" hidden="1" outlineLevel="1" x14ac:dyDescent="0.35">
      <c r="A436" s="37" t="s">
        <v>767</v>
      </c>
      <c r="B436" s="62" t="s">
        <v>768</v>
      </c>
      <c r="C436" s="54" t="s">
        <v>930</v>
      </c>
      <c r="D436" s="85"/>
      <c r="E436" s="63">
        <v>3233</v>
      </c>
      <c r="F436" s="83">
        <f>3000+73566</f>
        <v>76566</v>
      </c>
      <c r="G436" s="64">
        <v>27813</v>
      </c>
      <c r="H436" s="85">
        <v>6838</v>
      </c>
      <c r="I436" s="67">
        <f>260+294+259+309+312+309+303+260+270+294+259+309</f>
        <v>3438</v>
      </c>
      <c r="J436" s="71"/>
      <c r="K436" s="84">
        <f t="shared" si="45"/>
        <v>3438</v>
      </c>
      <c r="L436" s="67">
        <f t="shared" si="46"/>
        <v>117888</v>
      </c>
    </row>
    <row r="437" spans="1:12" hidden="1" outlineLevel="1" x14ac:dyDescent="0.35">
      <c r="A437" s="37" t="s">
        <v>769</v>
      </c>
      <c r="B437" s="62" t="s">
        <v>770</v>
      </c>
      <c r="C437" s="54" t="s">
        <v>930</v>
      </c>
      <c r="D437" s="85"/>
      <c r="E437" s="63"/>
      <c r="F437" s="83"/>
      <c r="G437" s="64"/>
      <c r="H437" s="85"/>
      <c r="I437" s="67"/>
      <c r="J437" s="71"/>
      <c r="K437" s="84">
        <f t="shared" si="45"/>
        <v>0</v>
      </c>
      <c r="L437" s="67">
        <f t="shared" si="46"/>
        <v>0</v>
      </c>
    </row>
    <row r="438" spans="1:12" hidden="1" outlineLevel="1" x14ac:dyDescent="0.35">
      <c r="A438" s="37" t="s">
        <v>771</v>
      </c>
      <c r="B438" s="62" t="s">
        <v>772</v>
      </c>
      <c r="C438" s="54" t="s">
        <v>930</v>
      </c>
      <c r="D438" s="85"/>
      <c r="E438" s="63">
        <v>4111</v>
      </c>
      <c r="F438" s="83">
        <v>513</v>
      </c>
      <c r="G438" s="64">
        <v>271</v>
      </c>
      <c r="H438" s="85"/>
      <c r="I438" s="67"/>
      <c r="J438" s="71"/>
      <c r="K438" s="84">
        <f t="shared" si="45"/>
        <v>0</v>
      </c>
      <c r="L438" s="67">
        <f t="shared" si="46"/>
        <v>4895</v>
      </c>
    </row>
    <row r="439" spans="1:12" hidden="1" outlineLevel="1" x14ac:dyDescent="0.35">
      <c r="A439" s="37" t="s">
        <v>773</v>
      </c>
      <c r="B439" s="62" t="s">
        <v>774</v>
      </c>
      <c r="C439" s="54" t="s">
        <v>930</v>
      </c>
      <c r="D439" s="85"/>
      <c r="E439" s="63"/>
      <c r="F439" s="83"/>
      <c r="G439" s="64">
        <v>9185</v>
      </c>
      <c r="H439" s="85">
        <v>11242</v>
      </c>
      <c r="I439" s="67"/>
      <c r="J439" s="71"/>
      <c r="K439" s="84">
        <f t="shared" si="45"/>
        <v>0</v>
      </c>
      <c r="L439" s="67">
        <f t="shared" si="46"/>
        <v>20427</v>
      </c>
    </row>
    <row r="440" spans="1:12" hidden="1" outlineLevel="1" x14ac:dyDescent="0.35">
      <c r="A440" s="37" t="s">
        <v>775</v>
      </c>
      <c r="B440" s="62" t="s">
        <v>776</v>
      </c>
      <c r="C440" s="54" t="s">
        <v>930</v>
      </c>
      <c r="D440" s="85"/>
      <c r="E440" s="63"/>
      <c r="F440" s="83"/>
      <c r="G440" s="64">
        <v>849</v>
      </c>
      <c r="H440" s="85">
        <v>7520</v>
      </c>
      <c r="I440" s="67"/>
      <c r="J440" s="71"/>
      <c r="K440" s="84">
        <f t="shared" si="45"/>
        <v>0</v>
      </c>
      <c r="L440" s="67">
        <f t="shared" si="46"/>
        <v>8369</v>
      </c>
    </row>
    <row r="441" spans="1:12" hidden="1" outlineLevel="1" x14ac:dyDescent="0.35">
      <c r="A441" s="37" t="s">
        <v>777</v>
      </c>
      <c r="B441" s="62" t="s">
        <v>778</v>
      </c>
      <c r="C441" s="54" t="s">
        <v>930</v>
      </c>
      <c r="D441" s="85"/>
      <c r="E441" s="63"/>
      <c r="F441" s="83"/>
      <c r="G441" s="64">
        <v>14877</v>
      </c>
      <c r="H441" s="85"/>
      <c r="I441" s="67"/>
      <c r="J441" s="71"/>
      <c r="K441" s="84">
        <f t="shared" si="45"/>
        <v>0</v>
      </c>
      <c r="L441" s="67">
        <f t="shared" si="46"/>
        <v>14877</v>
      </c>
    </row>
    <row r="442" spans="1:12" hidden="1" outlineLevel="1" x14ac:dyDescent="0.35">
      <c r="A442" s="37" t="s">
        <v>779</v>
      </c>
      <c r="B442" s="62" t="s">
        <v>780</v>
      </c>
      <c r="C442" s="54" t="s">
        <v>930</v>
      </c>
      <c r="D442" s="85"/>
      <c r="E442" s="63"/>
      <c r="F442" s="83"/>
      <c r="G442" s="64"/>
      <c r="H442" s="85"/>
      <c r="I442" s="67"/>
      <c r="J442" s="71"/>
      <c r="K442" s="84">
        <f t="shared" si="45"/>
        <v>0</v>
      </c>
      <c r="L442" s="67">
        <f t="shared" si="46"/>
        <v>0</v>
      </c>
    </row>
    <row r="443" spans="1:12" hidden="1" outlineLevel="1" x14ac:dyDescent="0.35">
      <c r="A443" s="37" t="s">
        <v>781</v>
      </c>
      <c r="B443" s="62" t="s">
        <v>782</v>
      </c>
      <c r="C443" s="54" t="s">
        <v>930</v>
      </c>
      <c r="D443" s="85"/>
      <c r="E443" s="63"/>
      <c r="F443" s="83"/>
      <c r="G443" s="64">
        <v>41442</v>
      </c>
      <c r="H443" s="85">
        <v>5325</v>
      </c>
      <c r="I443" s="67">
        <v>21219</v>
      </c>
      <c r="J443" s="71"/>
      <c r="K443" s="84">
        <f t="shared" si="45"/>
        <v>21219</v>
      </c>
      <c r="L443" s="67">
        <f t="shared" si="46"/>
        <v>67986</v>
      </c>
    </row>
    <row r="444" spans="1:12" hidden="1" outlineLevel="1" x14ac:dyDescent="0.35">
      <c r="A444" s="37" t="s">
        <v>783</v>
      </c>
      <c r="B444" s="62" t="s">
        <v>784</v>
      </c>
      <c r="C444" s="54" t="s">
        <v>930</v>
      </c>
      <c r="D444" s="85"/>
      <c r="E444" s="63"/>
      <c r="F444" s="83">
        <v>144379</v>
      </c>
      <c r="G444" s="64">
        <v>21999</v>
      </c>
      <c r="H444" s="85">
        <v>58482</v>
      </c>
      <c r="I444" s="67"/>
      <c r="J444" s="71"/>
      <c r="K444" s="84">
        <f t="shared" si="45"/>
        <v>0</v>
      </c>
      <c r="L444" s="67">
        <f t="shared" si="46"/>
        <v>224860</v>
      </c>
    </row>
    <row r="445" spans="1:12" hidden="1" outlineLevel="1" x14ac:dyDescent="0.35">
      <c r="A445" s="37" t="s">
        <v>785</v>
      </c>
      <c r="B445" s="62" t="s">
        <v>786</v>
      </c>
      <c r="C445" s="54" t="s">
        <v>930</v>
      </c>
      <c r="D445" s="85">
        <v>546</v>
      </c>
      <c r="E445" s="63"/>
      <c r="F445" s="83"/>
      <c r="G445" s="64"/>
      <c r="H445" s="85"/>
      <c r="I445" s="67"/>
      <c r="J445" s="71"/>
      <c r="K445" s="84">
        <f t="shared" si="45"/>
        <v>0</v>
      </c>
      <c r="L445" s="67">
        <f t="shared" si="46"/>
        <v>546</v>
      </c>
    </row>
    <row r="446" spans="1:12" hidden="1" outlineLevel="1" x14ac:dyDescent="0.35">
      <c r="A446" s="37" t="s">
        <v>787</v>
      </c>
      <c r="B446" s="62" t="s">
        <v>788</v>
      </c>
      <c r="C446" s="54" t="s">
        <v>930</v>
      </c>
      <c r="D446" s="85"/>
      <c r="E446" s="63">
        <v>1586</v>
      </c>
      <c r="F446" s="83">
        <v>20755</v>
      </c>
      <c r="G446" s="64">
        <v>43314</v>
      </c>
      <c r="H446" s="85">
        <v>22999</v>
      </c>
      <c r="I446" s="163">
        <f>1999+4170+45+5074+2027</f>
        <v>13315</v>
      </c>
      <c r="J446" s="71"/>
      <c r="K446" s="84">
        <f t="shared" si="45"/>
        <v>13315</v>
      </c>
      <c r="L446" s="67">
        <f t="shared" si="46"/>
        <v>101969</v>
      </c>
    </row>
    <row r="447" spans="1:12" hidden="1" outlineLevel="1" x14ac:dyDescent="0.35">
      <c r="A447" s="37" t="s">
        <v>789</v>
      </c>
      <c r="B447" s="62" t="s">
        <v>790</v>
      </c>
      <c r="C447" s="54" t="s">
        <v>930</v>
      </c>
      <c r="D447" s="85"/>
      <c r="E447" s="63"/>
      <c r="F447" s="83"/>
      <c r="G447" s="64"/>
      <c r="H447" s="85"/>
      <c r="I447" s="67"/>
      <c r="J447" s="71"/>
      <c r="K447" s="84">
        <f t="shared" si="45"/>
        <v>0</v>
      </c>
      <c r="L447" s="67">
        <f t="shared" si="46"/>
        <v>0</v>
      </c>
    </row>
    <row r="448" spans="1:12" hidden="1" outlineLevel="1" x14ac:dyDescent="0.35">
      <c r="A448" s="37" t="s">
        <v>791</v>
      </c>
      <c r="B448" s="62" t="s">
        <v>792</v>
      </c>
      <c r="C448" s="54" t="s">
        <v>930</v>
      </c>
      <c r="D448" s="85"/>
      <c r="E448" s="63"/>
      <c r="F448" s="83"/>
      <c r="G448" s="64"/>
      <c r="H448" s="85">
        <v>196</v>
      </c>
      <c r="I448" s="67"/>
      <c r="J448" s="71"/>
      <c r="K448" s="84">
        <f t="shared" si="45"/>
        <v>0</v>
      </c>
      <c r="L448" s="67">
        <f t="shared" si="46"/>
        <v>196</v>
      </c>
    </row>
    <row r="449" spans="1:12" hidden="1" outlineLevel="1" x14ac:dyDescent="0.35">
      <c r="A449" s="37" t="s">
        <v>793</v>
      </c>
      <c r="B449" s="62" t="s">
        <v>794</v>
      </c>
      <c r="C449" s="54" t="s">
        <v>930</v>
      </c>
      <c r="D449" s="85">
        <v>5889</v>
      </c>
      <c r="E449" s="63">
        <v>14317</v>
      </c>
      <c r="F449" s="83">
        <v>69951</v>
      </c>
      <c r="G449" s="64">
        <v>2406</v>
      </c>
      <c r="H449" s="85">
        <v>40966</v>
      </c>
      <c r="I449" s="67"/>
      <c r="J449" s="71"/>
      <c r="K449" s="84">
        <f t="shared" si="45"/>
        <v>0</v>
      </c>
      <c r="L449" s="67">
        <f t="shared" si="46"/>
        <v>133529</v>
      </c>
    </row>
    <row r="450" spans="1:12" hidden="1" outlineLevel="1" x14ac:dyDescent="0.35">
      <c r="A450" s="37" t="s">
        <v>795</v>
      </c>
      <c r="B450" s="62" t="s">
        <v>796</v>
      </c>
      <c r="C450" s="54" t="s">
        <v>930</v>
      </c>
      <c r="D450" s="85"/>
      <c r="E450" s="63"/>
      <c r="F450" s="83"/>
      <c r="G450" s="64">
        <v>5961</v>
      </c>
      <c r="H450" s="85"/>
      <c r="I450" s="67"/>
      <c r="J450" s="71"/>
      <c r="K450" s="84">
        <f t="shared" si="45"/>
        <v>0</v>
      </c>
      <c r="L450" s="67">
        <f t="shared" si="46"/>
        <v>5961</v>
      </c>
    </row>
    <row r="451" spans="1:12" hidden="1" outlineLevel="1" x14ac:dyDescent="0.35">
      <c r="A451" s="37" t="s">
        <v>797</v>
      </c>
      <c r="B451" s="62" t="s">
        <v>798</v>
      </c>
      <c r="C451" s="54" t="s">
        <v>930</v>
      </c>
      <c r="D451" s="85"/>
      <c r="E451" s="63"/>
      <c r="F451" s="83"/>
      <c r="G451" s="64"/>
      <c r="H451" s="85"/>
      <c r="I451" s="67"/>
      <c r="J451" s="71"/>
      <c r="K451" s="84">
        <f t="shared" si="45"/>
        <v>0</v>
      </c>
      <c r="L451" s="67">
        <f t="shared" si="46"/>
        <v>0</v>
      </c>
    </row>
    <row r="452" spans="1:12" hidden="1" outlineLevel="1" x14ac:dyDescent="0.35">
      <c r="A452" s="37" t="s">
        <v>799</v>
      </c>
      <c r="B452" s="62" t="s">
        <v>800</v>
      </c>
      <c r="C452" s="54" t="s">
        <v>930</v>
      </c>
      <c r="D452" s="85"/>
      <c r="E452" s="63"/>
      <c r="F452" s="83"/>
      <c r="G452" s="64">
        <v>3596</v>
      </c>
      <c r="H452" s="85"/>
      <c r="I452" s="67"/>
      <c r="J452" s="71"/>
      <c r="K452" s="84">
        <f t="shared" si="45"/>
        <v>0</v>
      </c>
      <c r="L452" s="67">
        <f t="shared" si="46"/>
        <v>3596</v>
      </c>
    </row>
    <row r="453" spans="1:12" hidden="1" outlineLevel="1" x14ac:dyDescent="0.35">
      <c r="A453" s="37" t="s">
        <v>801</v>
      </c>
      <c r="B453" s="62" t="s">
        <v>802</v>
      </c>
      <c r="C453" s="54" t="s">
        <v>930</v>
      </c>
      <c r="D453" s="85"/>
      <c r="E453" s="63">
        <v>13847</v>
      </c>
      <c r="F453" s="83">
        <v>150990</v>
      </c>
      <c r="G453" s="64">
        <v>51617</v>
      </c>
      <c r="H453" s="85"/>
      <c r="I453" s="67"/>
      <c r="J453" s="71"/>
      <c r="K453" s="84">
        <f t="shared" si="45"/>
        <v>0</v>
      </c>
      <c r="L453" s="67">
        <f t="shared" si="46"/>
        <v>216454</v>
      </c>
    </row>
    <row r="454" spans="1:12" hidden="1" outlineLevel="1" x14ac:dyDescent="0.35">
      <c r="A454" s="37" t="s">
        <v>803</v>
      </c>
      <c r="B454" s="62" t="s">
        <v>804</v>
      </c>
      <c r="C454" s="54" t="s">
        <v>930</v>
      </c>
      <c r="D454" s="85"/>
      <c r="E454" s="63"/>
      <c r="F454" s="83">
        <v>257579</v>
      </c>
      <c r="G454" s="64">
        <v>3705</v>
      </c>
      <c r="H454" s="85">
        <v>63498</v>
      </c>
      <c r="I454" s="67">
        <f>2590</f>
        <v>2590</v>
      </c>
      <c r="J454" s="71"/>
      <c r="K454" s="84">
        <f t="shared" si="45"/>
        <v>2590</v>
      </c>
      <c r="L454" s="67">
        <f t="shared" si="46"/>
        <v>327372</v>
      </c>
    </row>
    <row r="455" spans="1:12" hidden="1" outlineLevel="1" x14ac:dyDescent="0.35">
      <c r="A455" s="37" t="s">
        <v>805</v>
      </c>
      <c r="B455" s="62" t="s">
        <v>806</v>
      </c>
      <c r="C455" s="54" t="s">
        <v>930</v>
      </c>
      <c r="D455" s="85"/>
      <c r="E455" s="63"/>
      <c r="F455" s="83"/>
      <c r="G455" s="64">
        <v>8824</v>
      </c>
      <c r="H455" s="85"/>
      <c r="I455" s="67"/>
      <c r="J455" s="71"/>
      <c r="K455" s="84">
        <f t="shared" si="45"/>
        <v>0</v>
      </c>
      <c r="L455" s="67">
        <f t="shared" si="46"/>
        <v>8824</v>
      </c>
    </row>
    <row r="456" spans="1:12" hidden="1" outlineLevel="1" x14ac:dyDescent="0.35">
      <c r="A456" s="37" t="s">
        <v>807</v>
      </c>
      <c r="B456" s="62" t="s">
        <v>808</v>
      </c>
      <c r="C456" s="54" t="s">
        <v>930</v>
      </c>
      <c r="D456" s="85"/>
      <c r="E456" s="63"/>
      <c r="F456" s="83"/>
      <c r="G456" s="64"/>
      <c r="H456" s="85"/>
      <c r="I456" s="67"/>
      <c r="J456" s="71"/>
      <c r="K456" s="84">
        <f t="shared" si="45"/>
        <v>0</v>
      </c>
      <c r="L456" s="67">
        <f t="shared" si="46"/>
        <v>0</v>
      </c>
    </row>
    <row r="457" spans="1:12" hidden="1" outlineLevel="1" x14ac:dyDescent="0.35">
      <c r="A457" s="37" t="s">
        <v>809</v>
      </c>
      <c r="B457" s="62" t="s">
        <v>810</v>
      </c>
      <c r="C457" s="54" t="s">
        <v>930</v>
      </c>
      <c r="D457" s="85"/>
      <c r="E457" s="63"/>
      <c r="F457" s="83"/>
      <c r="G457" s="64"/>
      <c r="H457" s="85"/>
      <c r="I457" s="67"/>
      <c r="J457" s="71"/>
      <c r="K457" s="84">
        <f t="shared" si="45"/>
        <v>0</v>
      </c>
      <c r="L457" s="67">
        <f t="shared" si="46"/>
        <v>0</v>
      </c>
    </row>
    <row r="458" spans="1:12" hidden="1" outlineLevel="1" x14ac:dyDescent="0.35">
      <c r="A458" s="37" t="s">
        <v>811</v>
      </c>
      <c r="B458" s="62" t="s">
        <v>812</v>
      </c>
      <c r="C458" s="54" t="s">
        <v>930</v>
      </c>
      <c r="D458" s="85"/>
      <c r="E458" s="63"/>
      <c r="F458" s="83"/>
      <c r="G458" s="64"/>
      <c r="H458" s="85"/>
      <c r="I458" s="67"/>
      <c r="J458" s="71"/>
      <c r="K458" s="84">
        <f t="shared" si="45"/>
        <v>0</v>
      </c>
      <c r="L458" s="67">
        <f t="shared" si="46"/>
        <v>0</v>
      </c>
    </row>
    <row r="459" spans="1:12" hidden="1" outlineLevel="1" x14ac:dyDescent="0.35">
      <c r="A459" s="37" t="s">
        <v>813</v>
      </c>
      <c r="B459" s="62" t="s">
        <v>814</v>
      </c>
      <c r="C459" s="54" t="s">
        <v>930</v>
      </c>
      <c r="D459" s="85"/>
      <c r="E459" s="63"/>
      <c r="F459" s="83"/>
      <c r="G459" s="64">
        <v>2208</v>
      </c>
      <c r="H459" s="85"/>
      <c r="I459" s="67"/>
      <c r="J459" s="71"/>
      <c r="K459" s="84">
        <f t="shared" si="45"/>
        <v>0</v>
      </c>
      <c r="L459" s="67">
        <f t="shared" si="46"/>
        <v>2208</v>
      </c>
    </row>
    <row r="460" spans="1:12" hidden="1" outlineLevel="1" x14ac:dyDescent="0.35">
      <c r="A460" s="37" t="s">
        <v>815</v>
      </c>
      <c r="B460" s="62" t="s">
        <v>816</v>
      </c>
      <c r="C460" s="54" t="s">
        <v>930</v>
      </c>
      <c r="D460" s="85"/>
      <c r="E460" s="63"/>
      <c r="F460" s="83"/>
      <c r="G460" s="64"/>
      <c r="H460" s="85"/>
      <c r="I460" s="67"/>
      <c r="J460" s="71"/>
      <c r="K460" s="84">
        <f t="shared" si="45"/>
        <v>0</v>
      </c>
      <c r="L460" s="67">
        <f t="shared" si="46"/>
        <v>0</v>
      </c>
    </row>
    <row r="461" spans="1:12" hidden="1" outlineLevel="1" x14ac:dyDescent="0.35">
      <c r="A461" s="37" t="s">
        <v>817</v>
      </c>
      <c r="B461" s="62" t="s">
        <v>818</v>
      </c>
      <c r="C461" s="54" t="s">
        <v>930</v>
      </c>
      <c r="D461" s="85">
        <v>23760</v>
      </c>
      <c r="E461" s="63">
        <v>6259</v>
      </c>
      <c r="F461" s="83">
        <v>8724</v>
      </c>
      <c r="G461" s="64">
        <v>3304</v>
      </c>
      <c r="H461" s="85"/>
      <c r="I461" s="67">
        <v>505</v>
      </c>
      <c r="J461" s="71"/>
      <c r="K461" s="84">
        <f t="shared" si="45"/>
        <v>505</v>
      </c>
      <c r="L461" s="67">
        <f t="shared" si="46"/>
        <v>42552</v>
      </c>
    </row>
    <row r="462" spans="1:12" hidden="1" outlineLevel="1" x14ac:dyDescent="0.35">
      <c r="A462" s="37" t="s">
        <v>819</v>
      </c>
      <c r="B462" s="62" t="s">
        <v>820</v>
      </c>
      <c r="C462" s="54" t="s">
        <v>930</v>
      </c>
      <c r="D462" s="85"/>
      <c r="E462" s="63"/>
      <c r="F462" s="83"/>
      <c r="G462" s="64"/>
      <c r="H462" s="85">
        <v>18258</v>
      </c>
      <c r="I462" s="67"/>
      <c r="J462" s="71"/>
      <c r="K462" s="84">
        <f t="shared" ref="K462:K496" si="47">J462+I462</f>
        <v>0</v>
      </c>
      <c r="L462" s="67">
        <f t="shared" ref="L462:L496" si="48">K462+D462+E462+F462+G462+H462</f>
        <v>18258</v>
      </c>
    </row>
    <row r="463" spans="1:12" hidden="1" outlineLevel="1" x14ac:dyDescent="0.35">
      <c r="A463" s="37" t="s">
        <v>821</v>
      </c>
      <c r="B463" s="62" t="s">
        <v>822</v>
      </c>
      <c r="C463" s="54" t="s">
        <v>930</v>
      </c>
      <c r="D463" s="85">
        <v>31189</v>
      </c>
      <c r="E463" s="63">
        <v>21898</v>
      </c>
      <c r="F463" s="83">
        <v>73699</v>
      </c>
      <c r="G463" s="64">
        <v>56701</v>
      </c>
      <c r="H463" s="85">
        <f>70809+18422</f>
        <v>89231</v>
      </c>
      <c r="I463" s="67">
        <v>1860</v>
      </c>
      <c r="J463" s="71"/>
      <c r="K463" s="84">
        <f t="shared" si="47"/>
        <v>1860</v>
      </c>
      <c r="L463" s="67">
        <f t="shared" si="48"/>
        <v>274578</v>
      </c>
    </row>
    <row r="464" spans="1:12" hidden="1" outlineLevel="1" x14ac:dyDescent="0.35">
      <c r="A464" s="37" t="s">
        <v>823</v>
      </c>
      <c r="B464" s="62" t="s">
        <v>824</v>
      </c>
      <c r="C464" s="54" t="s">
        <v>930</v>
      </c>
      <c r="D464" s="85"/>
      <c r="E464" s="63"/>
      <c r="F464" s="83">
        <v>70</v>
      </c>
      <c r="G464" s="64">
        <v>6</v>
      </c>
      <c r="H464" s="85">
        <v>-7</v>
      </c>
      <c r="I464" s="67"/>
      <c r="J464" s="71"/>
      <c r="K464" s="84">
        <f t="shared" si="47"/>
        <v>0</v>
      </c>
      <c r="L464" s="67">
        <f t="shared" si="48"/>
        <v>69</v>
      </c>
    </row>
    <row r="465" spans="1:12" hidden="1" outlineLevel="1" x14ac:dyDescent="0.35">
      <c r="A465" s="37" t="s">
        <v>825</v>
      </c>
      <c r="B465" s="62" t="s">
        <v>826</v>
      </c>
      <c r="C465" s="54" t="s">
        <v>930</v>
      </c>
      <c r="D465" s="85"/>
      <c r="E465" s="63"/>
      <c r="F465" s="83"/>
      <c r="G465" s="64"/>
      <c r="H465" s="85">
        <v>14228</v>
      </c>
      <c r="I465" s="67"/>
      <c r="J465" s="71"/>
      <c r="K465" s="84">
        <f t="shared" si="47"/>
        <v>0</v>
      </c>
      <c r="L465" s="67">
        <f t="shared" si="48"/>
        <v>14228</v>
      </c>
    </row>
    <row r="466" spans="1:12" hidden="1" outlineLevel="1" x14ac:dyDescent="0.35">
      <c r="A466" s="37" t="s">
        <v>827</v>
      </c>
      <c r="B466" s="62" t="s">
        <v>828</v>
      </c>
      <c r="C466" s="54" t="s">
        <v>930</v>
      </c>
      <c r="D466" s="85">
        <v>1097</v>
      </c>
      <c r="E466" s="63">
        <v>5795</v>
      </c>
      <c r="F466" s="83">
        <v>22103</v>
      </c>
      <c r="G466" s="64">
        <v>5610</v>
      </c>
      <c r="H466" s="85">
        <v>10910</v>
      </c>
      <c r="I466" s="67">
        <v>4716</v>
      </c>
      <c r="J466" s="71"/>
      <c r="K466" s="84">
        <f t="shared" si="47"/>
        <v>4716</v>
      </c>
      <c r="L466" s="67">
        <f t="shared" si="48"/>
        <v>50231</v>
      </c>
    </row>
    <row r="467" spans="1:12" hidden="1" outlineLevel="1" x14ac:dyDescent="0.35">
      <c r="A467" s="37" t="s">
        <v>829</v>
      </c>
      <c r="B467" s="62" t="s">
        <v>830</v>
      </c>
      <c r="C467" s="54" t="s">
        <v>930</v>
      </c>
      <c r="D467" s="85"/>
      <c r="E467" s="63"/>
      <c r="F467" s="83">
        <f>40+163631</f>
        <v>163671</v>
      </c>
      <c r="G467" s="64"/>
      <c r="H467" s="85">
        <v>40893</v>
      </c>
      <c r="I467" s="67"/>
      <c r="J467" s="71"/>
      <c r="K467" s="84">
        <f t="shared" si="47"/>
        <v>0</v>
      </c>
      <c r="L467" s="67">
        <f t="shared" si="48"/>
        <v>204564</v>
      </c>
    </row>
    <row r="468" spans="1:12" hidden="1" outlineLevel="1" x14ac:dyDescent="0.35">
      <c r="A468" s="37" t="s">
        <v>831</v>
      </c>
      <c r="B468" s="62" t="s">
        <v>832</v>
      </c>
      <c r="C468" s="54" t="s">
        <v>930</v>
      </c>
      <c r="D468" s="85"/>
      <c r="E468" s="63"/>
      <c r="F468" s="83"/>
      <c r="G468" s="64"/>
      <c r="H468" s="85"/>
      <c r="I468" s="67"/>
      <c r="J468" s="71"/>
      <c r="K468" s="84">
        <f t="shared" si="47"/>
        <v>0</v>
      </c>
      <c r="L468" s="67">
        <f t="shared" si="48"/>
        <v>0</v>
      </c>
    </row>
    <row r="469" spans="1:12" hidden="1" outlineLevel="1" x14ac:dyDescent="0.35">
      <c r="A469" s="37" t="s">
        <v>833</v>
      </c>
      <c r="B469" s="62" t="s">
        <v>834</v>
      </c>
      <c r="C469" s="54" t="s">
        <v>930</v>
      </c>
      <c r="D469" s="85"/>
      <c r="E469" s="63"/>
      <c r="F469" s="83"/>
      <c r="G469" s="64"/>
      <c r="H469" s="85"/>
      <c r="I469" s="67"/>
      <c r="J469" s="71"/>
      <c r="K469" s="84">
        <f t="shared" si="47"/>
        <v>0</v>
      </c>
      <c r="L469" s="67">
        <f t="shared" si="48"/>
        <v>0</v>
      </c>
    </row>
    <row r="470" spans="1:12" hidden="1" outlineLevel="1" x14ac:dyDescent="0.35">
      <c r="A470" s="37" t="s">
        <v>835</v>
      </c>
      <c r="B470" s="62" t="s">
        <v>836</v>
      </c>
      <c r="C470" s="79" t="s">
        <v>930</v>
      </c>
      <c r="D470" s="85"/>
      <c r="E470" s="63"/>
      <c r="F470" s="83"/>
      <c r="G470" s="64"/>
      <c r="H470" s="85"/>
      <c r="I470" s="67"/>
      <c r="J470" s="71"/>
      <c r="K470" s="84">
        <f t="shared" si="47"/>
        <v>0</v>
      </c>
      <c r="L470" s="67">
        <f t="shared" si="48"/>
        <v>0</v>
      </c>
    </row>
    <row r="471" spans="1:12" hidden="1" outlineLevel="1" x14ac:dyDescent="0.35">
      <c r="A471" s="37"/>
      <c r="B471" s="167" t="s">
        <v>1308</v>
      </c>
      <c r="C471" s="168"/>
      <c r="D471" s="119"/>
      <c r="E471" s="121"/>
      <c r="F471" s="122">
        <f>-F398</f>
        <v>-242895</v>
      </c>
      <c r="G471" s="122">
        <f t="shared" ref="G471:H471" si="49">-G398</f>
        <v>-68530</v>
      </c>
      <c r="H471" s="122">
        <f t="shared" si="49"/>
        <v>-107859</v>
      </c>
      <c r="I471" s="123"/>
      <c r="J471" s="165">
        <f>-(F471+G471+H471)</f>
        <v>419284</v>
      </c>
      <c r="K471" s="119"/>
      <c r="L471" s="124"/>
    </row>
    <row r="472" spans="1:12" s="12" customFormat="1" x14ac:dyDescent="0.35">
      <c r="A472" s="52"/>
      <c r="B472" s="72" t="s">
        <v>1290</v>
      </c>
      <c r="C472" s="53"/>
      <c r="D472" s="88">
        <f>D293+D339+D386+D391+D392</f>
        <v>732540</v>
      </c>
      <c r="E472" s="76">
        <f t="shared" ref="E472:K472" si="50">E293+E339+E386+E391+E392</f>
        <v>1015874</v>
      </c>
      <c r="F472" s="88">
        <f t="shared" si="50"/>
        <v>3743650</v>
      </c>
      <c r="G472" s="76">
        <f t="shared" si="50"/>
        <v>2843801</v>
      </c>
      <c r="H472" s="88">
        <f t="shared" si="50"/>
        <v>4312458</v>
      </c>
      <c r="I472" s="76">
        <f t="shared" si="50"/>
        <v>1821200</v>
      </c>
      <c r="J472" s="88"/>
      <c r="K472" s="76">
        <f t="shared" si="50"/>
        <v>6238554</v>
      </c>
      <c r="L472" s="210">
        <f t="shared" si="48"/>
        <v>18886877</v>
      </c>
    </row>
    <row r="473" spans="1:12" s="12" customFormat="1" x14ac:dyDescent="0.35">
      <c r="A473" s="56"/>
      <c r="B473" s="81" t="s">
        <v>1287</v>
      </c>
      <c r="C473" s="58"/>
      <c r="D473" s="90">
        <f>D338-D339-D386-D392</f>
        <v>357669.14057507995</v>
      </c>
      <c r="E473" s="59">
        <f t="shared" ref="E473:I473" si="51">E338-E339-E386-E392</f>
        <v>-16006.485623003216</v>
      </c>
      <c r="F473" s="90">
        <f t="shared" si="51"/>
        <v>-242069.44515441963</v>
      </c>
      <c r="G473" s="59">
        <f t="shared" si="51"/>
        <v>1522330.827121051</v>
      </c>
      <c r="H473" s="90">
        <f t="shared" si="51"/>
        <v>507233.96308129281</v>
      </c>
      <c r="I473" s="59">
        <f t="shared" si="51"/>
        <v>-6344</v>
      </c>
      <c r="J473" s="90"/>
      <c r="K473" s="59">
        <f>K338-K339-K386-K392</f>
        <v>81799</v>
      </c>
      <c r="L473" s="155">
        <f>K473+D473+E473+F473+G473+H473</f>
        <v>2210957.0000000009</v>
      </c>
    </row>
    <row r="474" spans="1:12" collapsed="1" x14ac:dyDescent="0.35">
      <c r="A474" s="57"/>
      <c r="B474" s="62" t="s">
        <v>931</v>
      </c>
      <c r="C474" s="79"/>
      <c r="D474" s="85">
        <f>SUM(D475:D479)</f>
        <v>217</v>
      </c>
      <c r="E474" s="65">
        <f t="shared" ref="E474:I474" si="52">SUM(E475:E479)</f>
        <v>49894</v>
      </c>
      <c r="F474" s="85">
        <f t="shared" si="52"/>
        <v>57481</v>
      </c>
      <c r="G474" s="65">
        <f t="shared" si="52"/>
        <v>79112</v>
      </c>
      <c r="H474" s="85">
        <f t="shared" si="52"/>
        <v>0</v>
      </c>
      <c r="I474" s="65">
        <f t="shared" si="52"/>
        <v>0</v>
      </c>
      <c r="J474" s="71"/>
      <c r="K474" s="84">
        <f t="shared" si="47"/>
        <v>0</v>
      </c>
      <c r="L474" s="67">
        <f t="shared" si="48"/>
        <v>186704</v>
      </c>
    </row>
    <row r="475" spans="1:12" hidden="1" outlineLevel="1" x14ac:dyDescent="0.35">
      <c r="A475" s="37" t="s">
        <v>837</v>
      </c>
      <c r="B475" s="62" t="s">
        <v>838</v>
      </c>
      <c r="C475" s="54" t="s">
        <v>931</v>
      </c>
      <c r="D475" s="85">
        <v>217</v>
      </c>
      <c r="E475" s="63">
        <v>47516</v>
      </c>
      <c r="F475" s="83">
        <v>57481</v>
      </c>
      <c r="G475" s="64">
        <v>79112</v>
      </c>
      <c r="H475" s="85"/>
      <c r="I475" s="67"/>
      <c r="J475" s="71">
        <f t="shared" ref="J475:J492" si="53">D475+E475+F475+G475+H475</f>
        <v>184326</v>
      </c>
      <c r="K475" s="84">
        <f t="shared" si="47"/>
        <v>184326</v>
      </c>
      <c r="L475" s="67">
        <f t="shared" si="48"/>
        <v>368652</v>
      </c>
    </row>
    <row r="476" spans="1:12" hidden="1" outlineLevel="1" x14ac:dyDescent="0.35">
      <c r="A476" s="37" t="s">
        <v>839</v>
      </c>
      <c r="B476" s="62" t="s">
        <v>840</v>
      </c>
      <c r="C476" s="54" t="s">
        <v>931</v>
      </c>
      <c r="D476" s="85"/>
      <c r="E476" s="63"/>
      <c r="F476" s="83"/>
      <c r="G476" s="64"/>
      <c r="H476" s="85"/>
      <c r="I476" s="67"/>
      <c r="J476" s="71">
        <f t="shared" si="53"/>
        <v>0</v>
      </c>
      <c r="K476" s="84">
        <f t="shared" si="47"/>
        <v>0</v>
      </c>
      <c r="L476" s="67">
        <f t="shared" si="48"/>
        <v>0</v>
      </c>
    </row>
    <row r="477" spans="1:12" hidden="1" outlineLevel="1" x14ac:dyDescent="0.35">
      <c r="A477" s="37" t="s">
        <v>841</v>
      </c>
      <c r="B477" s="62" t="s">
        <v>842</v>
      </c>
      <c r="C477" s="54" t="s">
        <v>931</v>
      </c>
      <c r="D477" s="85"/>
      <c r="E477" s="63"/>
      <c r="F477" s="83"/>
      <c r="G477" s="64"/>
      <c r="H477" s="85"/>
      <c r="I477" s="67"/>
      <c r="J477" s="71">
        <f t="shared" si="53"/>
        <v>0</v>
      </c>
      <c r="K477" s="84">
        <f t="shared" si="47"/>
        <v>0</v>
      </c>
      <c r="L477" s="67">
        <f t="shared" si="48"/>
        <v>0</v>
      </c>
    </row>
    <row r="478" spans="1:12" hidden="1" outlineLevel="1" x14ac:dyDescent="0.35">
      <c r="A478" s="48" t="s">
        <v>843</v>
      </c>
      <c r="B478" s="69" t="s">
        <v>844</v>
      </c>
      <c r="C478" s="54" t="s">
        <v>931</v>
      </c>
      <c r="D478" s="85"/>
      <c r="E478" s="63"/>
      <c r="F478" s="83"/>
      <c r="G478" s="64"/>
      <c r="H478" s="85"/>
      <c r="I478" s="67"/>
      <c r="J478" s="71">
        <f t="shared" si="53"/>
        <v>0</v>
      </c>
      <c r="K478" s="84">
        <f t="shared" si="47"/>
        <v>0</v>
      </c>
      <c r="L478" s="67">
        <f t="shared" si="48"/>
        <v>0</v>
      </c>
    </row>
    <row r="479" spans="1:12" hidden="1" outlineLevel="1" x14ac:dyDescent="0.35">
      <c r="A479" s="37" t="s">
        <v>847</v>
      </c>
      <c r="B479" s="62" t="s">
        <v>848</v>
      </c>
      <c r="C479" s="54" t="s">
        <v>931</v>
      </c>
      <c r="D479" s="85"/>
      <c r="E479" s="63">
        <v>2378</v>
      </c>
      <c r="F479" s="83"/>
      <c r="G479" s="64"/>
      <c r="H479" s="85"/>
      <c r="I479" s="67"/>
      <c r="J479" s="71">
        <f t="shared" si="53"/>
        <v>2378</v>
      </c>
      <c r="K479" s="84">
        <f t="shared" si="47"/>
        <v>2378</v>
      </c>
      <c r="L479" s="67">
        <f t="shared" si="48"/>
        <v>4756</v>
      </c>
    </row>
    <row r="480" spans="1:12" collapsed="1" x14ac:dyDescent="0.35">
      <c r="A480" s="37"/>
      <c r="B480" s="62" t="s">
        <v>932</v>
      </c>
      <c r="C480" s="65"/>
      <c r="D480" s="85">
        <f>SUM(D481:D482)</f>
        <v>0</v>
      </c>
      <c r="E480" s="65">
        <f t="shared" ref="E480:I480" si="54">SUM(E481:E482)</f>
        <v>0</v>
      </c>
      <c r="F480" s="85">
        <f t="shared" si="54"/>
        <v>0</v>
      </c>
      <c r="G480" s="65">
        <f t="shared" si="54"/>
        <v>0</v>
      </c>
      <c r="H480" s="85">
        <f t="shared" si="54"/>
        <v>0</v>
      </c>
      <c r="I480" s="65">
        <f t="shared" si="54"/>
        <v>0</v>
      </c>
      <c r="J480" s="71"/>
      <c r="K480" s="84">
        <f t="shared" si="47"/>
        <v>0</v>
      </c>
      <c r="L480" s="67">
        <f t="shared" si="48"/>
        <v>0</v>
      </c>
    </row>
    <row r="481" spans="1:12" hidden="1" outlineLevel="1" x14ac:dyDescent="0.35">
      <c r="A481" s="37" t="s">
        <v>845</v>
      </c>
      <c r="B481" s="62" t="s">
        <v>846</v>
      </c>
      <c r="C481" s="54" t="s">
        <v>932</v>
      </c>
      <c r="D481" s="85"/>
      <c r="E481" s="63"/>
      <c r="F481" s="83"/>
      <c r="G481" s="64"/>
      <c r="H481" s="85"/>
      <c r="I481" s="67"/>
      <c r="J481" s="71">
        <f t="shared" si="53"/>
        <v>0</v>
      </c>
      <c r="K481" s="84">
        <f t="shared" si="47"/>
        <v>0</v>
      </c>
      <c r="L481" s="67">
        <f t="shared" si="48"/>
        <v>0</v>
      </c>
    </row>
    <row r="482" spans="1:12" hidden="1" outlineLevel="1" x14ac:dyDescent="0.35">
      <c r="A482" s="37" t="s">
        <v>849</v>
      </c>
      <c r="B482" s="62" t="s">
        <v>850</v>
      </c>
      <c r="C482" s="54" t="s">
        <v>932</v>
      </c>
      <c r="D482" s="85"/>
      <c r="E482" s="63"/>
      <c r="F482" s="83"/>
      <c r="G482" s="64"/>
      <c r="H482" s="85"/>
      <c r="I482" s="67"/>
      <c r="J482" s="71">
        <f t="shared" si="53"/>
        <v>0</v>
      </c>
      <c r="K482" s="84">
        <f t="shared" si="47"/>
        <v>0</v>
      </c>
      <c r="L482" s="67">
        <f t="shared" si="48"/>
        <v>0</v>
      </c>
    </row>
    <row r="483" spans="1:12" collapsed="1" x14ac:dyDescent="0.35">
      <c r="A483" s="37"/>
      <c r="B483" s="62" t="s">
        <v>933</v>
      </c>
      <c r="C483" s="54"/>
      <c r="D483" s="85">
        <f>SUM(D484:D485)</f>
        <v>0</v>
      </c>
      <c r="E483" s="65">
        <f t="shared" ref="E483:I483" si="55">SUM(E484:E485)</f>
        <v>0</v>
      </c>
      <c r="F483" s="85">
        <f t="shared" si="55"/>
        <v>0</v>
      </c>
      <c r="G483" s="65">
        <f t="shared" si="55"/>
        <v>0</v>
      </c>
      <c r="H483" s="85">
        <f t="shared" si="55"/>
        <v>0</v>
      </c>
      <c r="I483" s="65">
        <f t="shared" si="55"/>
        <v>0</v>
      </c>
      <c r="J483" s="71"/>
      <c r="K483" s="84">
        <f t="shared" si="47"/>
        <v>0</v>
      </c>
      <c r="L483" s="67">
        <f t="shared" si="48"/>
        <v>0</v>
      </c>
    </row>
    <row r="484" spans="1:12" hidden="1" outlineLevel="1" x14ac:dyDescent="0.35">
      <c r="A484" s="37" t="s">
        <v>851</v>
      </c>
      <c r="B484" s="62" t="s">
        <v>852</v>
      </c>
      <c r="C484" s="54" t="s">
        <v>933</v>
      </c>
      <c r="D484" s="85"/>
      <c r="E484" s="63"/>
      <c r="F484" s="83"/>
      <c r="G484" s="64"/>
      <c r="H484" s="85"/>
      <c r="I484" s="67"/>
      <c r="J484" s="71">
        <f t="shared" si="53"/>
        <v>0</v>
      </c>
      <c r="K484" s="84">
        <f t="shared" si="47"/>
        <v>0</v>
      </c>
      <c r="L484" s="67">
        <f t="shared" si="48"/>
        <v>0</v>
      </c>
    </row>
    <row r="485" spans="1:12" hidden="1" outlineLevel="1" x14ac:dyDescent="0.35">
      <c r="A485" s="37" t="s">
        <v>853</v>
      </c>
      <c r="B485" s="62" t="s">
        <v>854</v>
      </c>
      <c r="C485" s="54" t="s">
        <v>933</v>
      </c>
      <c r="D485" s="85"/>
      <c r="E485" s="63"/>
      <c r="F485" s="83"/>
      <c r="G485" s="64"/>
      <c r="H485" s="85"/>
      <c r="I485" s="67"/>
      <c r="J485" s="71">
        <f t="shared" si="53"/>
        <v>0</v>
      </c>
      <c r="K485" s="84">
        <f t="shared" si="47"/>
        <v>0</v>
      </c>
      <c r="L485" s="67">
        <f t="shared" si="48"/>
        <v>0</v>
      </c>
    </row>
    <row r="486" spans="1:12" collapsed="1" x14ac:dyDescent="0.35">
      <c r="A486" s="37"/>
      <c r="B486" s="62" t="s">
        <v>934</v>
      </c>
      <c r="C486" s="54"/>
      <c r="D486" s="85">
        <f>SUM(D487:D492)</f>
        <v>3648</v>
      </c>
      <c r="E486" s="65">
        <f t="shared" ref="E486:I486" si="56">SUM(E487:E492)</f>
        <v>0</v>
      </c>
      <c r="F486" s="85">
        <f t="shared" si="56"/>
        <v>174</v>
      </c>
      <c r="G486" s="65">
        <f t="shared" si="56"/>
        <v>8591</v>
      </c>
      <c r="H486" s="85">
        <f t="shared" si="56"/>
        <v>0</v>
      </c>
      <c r="I486" s="65">
        <f t="shared" si="56"/>
        <v>0</v>
      </c>
      <c r="J486" s="71"/>
      <c r="K486" s="84">
        <f t="shared" si="47"/>
        <v>0</v>
      </c>
      <c r="L486" s="67">
        <f t="shared" si="48"/>
        <v>12413</v>
      </c>
    </row>
    <row r="487" spans="1:12" hidden="1" outlineLevel="1" x14ac:dyDescent="0.35">
      <c r="A487" s="37" t="s">
        <v>855</v>
      </c>
      <c r="B487" s="62" t="s">
        <v>856</v>
      </c>
      <c r="C487" s="54" t="s">
        <v>934</v>
      </c>
      <c r="D487" s="85">
        <v>3648</v>
      </c>
      <c r="E487" s="63"/>
      <c r="F487" s="83">
        <v>174</v>
      </c>
      <c r="G487" s="64">
        <v>5</v>
      </c>
      <c r="H487" s="85"/>
      <c r="I487" s="67"/>
      <c r="J487" s="71">
        <f t="shared" si="53"/>
        <v>3827</v>
      </c>
      <c r="K487" s="84">
        <f t="shared" si="47"/>
        <v>3827</v>
      </c>
      <c r="L487" s="67">
        <f t="shared" si="48"/>
        <v>7654</v>
      </c>
    </row>
    <row r="488" spans="1:12" hidden="1" outlineLevel="1" x14ac:dyDescent="0.35">
      <c r="A488" s="37" t="s">
        <v>857</v>
      </c>
      <c r="B488" s="62" t="s">
        <v>858</v>
      </c>
      <c r="C488" s="54" t="s">
        <v>934</v>
      </c>
      <c r="D488" s="85"/>
      <c r="E488" s="63"/>
      <c r="F488" s="83"/>
      <c r="G488" s="64"/>
      <c r="H488" s="85"/>
      <c r="I488" s="67"/>
      <c r="J488" s="71">
        <f t="shared" si="53"/>
        <v>0</v>
      </c>
      <c r="K488" s="84">
        <f t="shared" si="47"/>
        <v>0</v>
      </c>
      <c r="L488" s="67">
        <f t="shared" si="48"/>
        <v>0</v>
      </c>
    </row>
    <row r="489" spans="1:12" hidden="1" outlineLevel="1" x14ac:dyDescent="0.35">
      <c r="A489" s="37" t="s">
        <v>859</v>
      </c>
      <c r="B489" s="62" t="s">
        <v>860</v>
      </c>
      <c r="C489" s="54" t="s">
        <v>934</v>
      </c>
      <c r="D489" s="85"/>
      <c r="E489" s="63"/>
      <c r="F489" s="83"/>
      <c r="G489" s="64">
        <v>7</v>
      </c>
      <c r="H489" s="85"/>
      <c r="I489" s="67"/>
      <c r="J489" s="71">
        <f t="shared" si="53"/>
        <v>7</v>
      </c>
      <c r="K489" s="84">
        <f t="shared" si="47"/>
        <v>7</v>
      </c>
      <c r="L489" s="67">
        <f t="shared" si="48"/>
        <v>14</v>
      </c>
    </row>
    <row r="490" spans="1:12" hidden="1" outlineLevel="1" x14ac:dyDescent="0.35">
      <c r="A490" s="37" t="s">
        <v>861</v>
      </c>
      <c r="B490" s="62" t="s">
        <v>862</v>
      </c>
      <c r="C490" s="54" t="s">
        <v>934</v>
      </c>
      <c r="D490" s="85"/>
      <c r="E490" s="63"/>
      <c r="F490" s="83"/>
      <c r="G490" s="64">
        <v>8579</v>
      </c>
      <c r="H490" s="85"/>
      <c r="I490" s="67"/>
      <c r="J490" s="71">
        <f t="shared" si="53"/>
        <v>8579</v>
      </c>
      <c r="K490" s="84">
        <f t="shared" si="47"/>
        <v>8579</v>
      </c>
      <c r="L490" s="67">
        <f t="shared" si="48"/>
        <v>17158</v>
      </c>
    </row>
    <row r="491" spans="1:12" hidden="1" outlineLevel="1" x14ac:dyDescent="0.35">
      <c r="A491" s="37" t="s">
        <v>863</v>
      </c>
      <c r="B491" s="62" t="s">
        <v>864</v>
      </c>
      <c r="C491" s="54" t="s">
        <v>934</v>
      </c>
      <c r="D491" s="85"/>
      <c r="E491" s="63"/>
      <c r="F491" s="83"/>
      <c r="G491" s="64"/>
      <c r="H491" s="85"/>
      <c r="I491" s="67"/>
      <c r="J491" s="71">
        <f t="shared" si="53"/>
        <v>0</v>
      </c>
      <c r="K491" s="84">
        <f t="shared" si="47"/>
        <v>0</v>
      </c>
      <c r="L491" s="67">
        <f t="shared" si="48"/>
        <v>0</v>
      </c>
    </row>
    <row r="492" spans="1:12" hidden="1" outlineLevel="1" x14ac:dyDescent="0.35">
      <c r="A492" s="37" t="s">
        <v>865</v>
      </c>
      <c r="B492" s="62" t="s">
        <v>866</v>
      </c>
      <c r="C492" s="54" t="s">
        <v>934</v>
      </c>
      <c r="D492" s="85"/>
      <c r="E492" s="63"/>
      <c r="F492" s="83"/>
      <c r="G492" s="64"/>
      <c r="H492" s="85"/>
      <c r="I492" s="67"/>
      <c r="J492" s="71">
        <f t="shared" si="53"/>
        <v>0</v>
      </c>
      <c r="K492" s="84">
        <f t="shared" si="47"/>
        <v>0</v>
      </c>
      <c r="L492" s="67">
        <f t="shared" si="48"/>
        <v>0</v>
      </c>
    </row>
    <row r="493" spans="1:12" s="12" customFormat="1" x14ac:dyDescent="0.35">
      <c r="A493" s="42"/>
      <c r="B493" s="81" t="s">
        <v>1288</v>
      </c>
      <c r="C493" s="58"/>
      <c r="D493" s="90">
        <f>D473+D474-D486</f>
        <v>354238.14057507995</v>
      </c>
      <c r="E493" s="59">
        <f t="shared" ref="E493:K493" si="57">E473+E474-E486</f>
        <v>33887.514376996784</v>
      </c>
      <c r="F493" s="90">
        <f t="shared" si="57"/>
        <v>-184762.44515441963</v>
      </c>
      <c r="G493" s="59">
        <f t="shared" si="57"/>
        <v>1592851.827121051</v>
      </c>
      <c r="H493" s="90">
        <f t="shared" si="57"/>
        <v>507233.96308129281</v>
      </c>
      <c r="I493" s="59">
        <f t="shared" si="57"/>
        <v>-6344</v>
      </c>
      <c r="J493" s="90"/>
      <c r="K493" s="59">
        <f t="shared" si="57"/>
        <v>81799</v>
      </c>
      <c r="L493" s="155">
        <f>K493+D493+E493+F493+G493+H493</f>
        <v>2385248.0000000009</v>
      </c>
    </row>
    <row r="494" spans="1:12" ht="15" collapsed="1" thickBot="1" x14ac:dyDescent="0.4">
      <c r="A494" s="37"/>
      <c r="B494" s="62" t="s">
        <v>935</v>
      </c>
      <c r="C494" s="54"/>
      <c r="D494" s="85">
        <f>SUM(D495:D496)</f>
        <v>0</v>
      </c>
      <c r="E494" s="65">
        <f t="shared" ref="E494:I494" si="58">SUM(E495:E496)</f>
        <v>0</v>
      </c>
      <c r="F494" s="85">
        <f t="shared" si="58"/>
        <v>0</v>
      </c>
      <c r="G494" s="65">
        <f t="shared" si="58"/>
        <v>0</v>
      </c>
      <c r="H494" s="85">
        <f t="shared" si="58"/>
        <v>0</v>
      </c>
      <c r="I494" s="65">
        <f t="shared" si="58"/>
        <v>0</v>
      </c>
      <c r="J494" s="161"/>
      <c r="K494" s="84">
        <f t="shared" si="47"/>
        <v>0</v>
      </c>
      <c r="L494" s="67">
        <f t="shared" si="48"/>
        <v>0</v>
      </c>
    </row>
    <row r="495" spans="1:12" hidden="1" outlineLevel="1" x14ac:dyDescent="0.35">
      <c r="A495" s="37" t="s">
        <v>867</v>
      </c>
      <c r="B495" s="62" t="s">
        <v>868</v>
      </c>
      <c r="C495" s="54" t="s">
        <v>935</v>
      </c>
      <c r="D495" s="85"/>
      <c r="E495" s="63"/>
      <c r="F495" s="83"/>
      <c r="G495" s="64"/>
      <c r="H495" s="85"/>
      <c r="I495" s="67"/>
      <c r="J495" s="71"/>
      <c r="K495" s="84">
        <f t="shared" si="47"/>
        <v>0</v>
      </c>
      <c r="L495" s="67">
        <f t="shared" si="48"/>
        <v>0</v>
      </c>
    </row>
    <row r="496" spans="1:12" ht="15" hidden="1" outlineLevel="1" thickBot="1" x14ac:dyDescent="0.4">
      <c r="A496" s="37" t="s">
        <v>869</v>
      </c>
      <c r="B496" s="62" t="s">
        <v>870</v>
      </c>
      <c r="C496" s="54" t="s">
        <v>935</v>
      </c>
      <c r="D496" s="85"/>
      <c r="E496" s="63"/>
      <c r="F496" s="83"/>
      <c r="G496" s="64"/>
      <c r="H496" s="85"/>
      <c r="I496" s="67"/>
      <c r="J496" s="71"/>
      <c r="K496" s="84">
        <f t="shared" si="47"/>
        <v>0</v>
      </c>
      <c r="L496" s="67">
        <f t="shared" si="48"/>
        <v>0</v>
      </c>
    </row>
    <row r="497" spans="1:12" ht="15" collapsed="1" thickBot="1" x14ac:dyDescent="0.4">
      <c r="A497" s="37"/>
      <c r="B497" s="112" t="s">
        <v>872</v>
      </c>
      <c r="C497" s="50"/>
      <c r="D497" s="114">
        <f>SUM(D498:D501)</f>
        <v>0</v>
      </c>
      <c r="E497" s="115">
        <f t="shared" ref="E497:I497" si="59">SUM(E498:E501)</f>
        <v>0</v>
      </c>
      <c r="F497" s="114">
        <f t="shared" si="59"/>
        <v>0</v>
      </c>
      <c r="G497" s="115">
        <f t="shared" si="59"/>
        <v>0</v>
      </c>
      <c r="H497" s="114">
        <f t="shared" si="59"/>
        <v>0</v>
      </c>
      <c r="I497" s="115">
        <f t="shared" si="59"/>
        <v>0</v>
      </c>
      <c r="J497" s="114"/>
      <c r="K497" s="142">
        <f>K493</f>
        <v>81799</v>
      </c>
      <c r="L497" s="113">
        <f>K497+D497+E497+F497+G497+H497</f>
        <v>81799</v>
      </c>
    </row>
    <row r="498" spans="1:12" hidden="1" outlineLevel="1" x14ac:dyDescent="0.35">
      <c r="A498" s="37" t="s">
        <v>871</v>
      </c>
      <c r="B498" s="44" t="s">
        <v>872</v>
      </c>
      <c r="C498" s="44" t="s">
        <v>872</v>
      </c>
      <c r="D498" s="39"/>
      <c r="E498" s="45"/>
      <c r="F498" s="45"/>
      <c r="G498" s="46"/>
      <c r="H498" s="39"/>
      <c r="I498" s="39"/>
    </row>
    <row r="499" spans="1:12" hidden="1" outlineLevel="1" x14ac:dyDescent="0.35">
      <c r="A499" s="37" t="s">
        <v>873</v>
      </c>
      <c r="B499" s="44" t="s">
        <v>874</v>
      </c>
      <c r="C499" s="44" t="s">
        <v>872</v>
      </c>
      <c r="D499" s="39"/>
      <c r="E499" s="45"/>
      <c r="F499" s="45"/>
      <c r="G499" s="46"/>
      <c r="H499" s="39"/>
      <c r="I499" s="39"/>
    </row>
    <row r="500" spans="1:12" hidden="1" outlineLevel="1" x14ac:dyDescent="0.35">
      <c r="A500" s="37" t="s">
        <v>875</v>
      </c>
      <c r="B500" s="44" t="s">
        <v>876</v>
      </c>
      <c r="C500" s="44" t="s">
        <v>872</v>
      </c>
      <c r="D500" s="39"/>
      <c r="E500" s="45"/>
      <c r="F500" s="45"/>
      <c r="G500" s="46"/>
      <c r="H500" s="39"/>
      <c r="I500" s="39"/>
    </row>
    <row r="501" spans="1:12" hidden="1" outlineLevel="1" x14ac:dyDescent="0.35">
      <c r="A501" s="37" t="s">
        <v>877</v>
      </c>
      <c r="B501" s="44" t="s">
        <v>878</v>
      </c>
      <c r="C501" s="44" t="s">
        <v>872</v>
      </c>
      <c r="D501" s="39"/>
      <c r="E501" s="45"/>
      <c r="F501" s="45"/>
      <c r="G501" s="46"/>
      <c r="H501" s="39"/>
      <c r="I501" s="39"/>
    </row>
    <row r="502" spans="1:12" collapsed="1" x14ac:dyDescent="0.35">
      <c r="A502" s="37"/>
      <c r="B502" s="46"/>
      <c r="C502" s="46"/>
      <c r="D502" s="39"/>
      <c r="E502" s="39"/>
      <c r="F502" s="39"/>
      <c r="G502" s="46"/>
      <c r="H502" s="39"/>
      <c r="I502" s="39"/>
    </row>
    <row r="503" spans="1:12" x14ac:dyDescent="0.35">
      <c r="A503" s="37"/>
      <c r="B503" s="46"/>
      <c r="C503" s="46"/>
      <c r="D503" s="39"/>
      <c r="E503" s="39"/>
      <c r="F503" s="39"/>
      <c r="G503" s="46"/>
      <c r="H503" s="39"/>
      <c r="I503" s="39"/>
    </row>
    <row r="504" spans="1:12" x14ac:dyDescent="0.35">
      <c r="A504" s="37"/>
      <c r="B504" s="60"/>
      <c r="C504" s="46"/>
      <c r="D504" s="39"/>
      <c r="E504" s="39"/>
      <c r="F504" s="39"/>
      <c r="G504" s="46"/>
      <c r="H504" s="39"/>
      <c r="I504" s="39"/>
    </row>
    <row r="505" spans="1:12" x14ac:dyDescent="0.35">
      <c r="B505" s="22"/>
      <c r="C505" s="22"/>
      <c r="G505" s="33"/>
    </row>
    <row r="506" spans="1:12" x14ac:dyDescent="0.35">
      <c r="B506" s="22"/>
      <c r="C506" s="22"/>
      <c r="G506" s="33"/>
    </row>
    <row r="507" spans="1:12" x14ac:dyDescent="0.35">
      <c r="B507" s="22"/>
      <c r="C507" s="22"/>
      <c r="G507" s="33"/>
    </row>
    <row r="508" spans="1:12" x14ac:dyDescent="0.35">
      <c r="B508" s="22"/>
      <c r="C508" s="22"/>
      <c r="G508" s="33"/>
    </row>
    <row r="509" spans="1:12" x14ac:dyDescent="0.35">
      <c r="B509" s="22"/>
      <c r="C509" s="22"/>
      <c r="G509" s="33"/>
    </row>
    <row r="510" spans="1:12" x14ac:dyDescent="0.35">
      <c r="B510" s="22"/>
      <c r="C510" s="22"/>
      <c r="G510" s="33"/>
    </row>
    <row r="511" spans="1:12" x14ac:dyDescent="0.35">
      <c r="B511" s="22"/>
      <c r="C511" s="22"/>
      <c r="G511" s="33"/>
    </row>
    <row r="512" spans="1:12" x14ac:dyDescent="0.35">
      <c r="B512" s="22"/>
      <c r="C512" s="22"/>
      <c r="G512" s="33"/>
    </row>
    <row r="513" spans="2:7" x14ac:dyDescent="0.35">
      <c r="B513" s="22"/>
      <c r="C513" s="22"/>
      <c r="G513" s="33"/>
    </row>
    <row r="514" spans="2:7" x14ac:dyDescent="0.35">
      <c r="B514" s="22"/>
      <c r="C514" s="22"/>
      <c r="G514" s="33"/>
    </row>
    <row r="515" spans="2:7" x14ac:dyDescent="0.35">
      <c r="B515" s="22"/>
      <c r="C515" s="22"/>
      <c r="G515" s="33"/>
    </row>
    <row r="516" spans="2:7" x14ac:dyDescent="0.35">
      <c r="B516" s="22"/>
      <c r="C516" s="22"/>
      <c r="G516" s="33"/>
    </row>
    <row r="517" spans="2:7" x14ac:dyDescent="0.35">
      <c r="B517" s="22"/>
      <c r="C517" s="22"/>
      <c r="G517" s="33"/>
    </row>
    <row r="518" spans="2:7" x14ac:dyDescent="0.35">
      <c r="B518" s="22"/>
      <c r="C518" s="22"/>
      <c r="G518" s="33"/>
    </row>
    <row r="519" spans="2:7" x14ac:dyDescent="0.35">
      <c r="B519" s="22"/>
      <c r="C519" s="22"/>
      <c r="G519" s="33"/>
    </row>
    <row r="520" spans="2:7" x14ac:dyDescent="0.35">
      <c r="B520" s="22"/>
      <c r="C520" s="22"/>
      <c r="G520" s="33"/>
    </row>
    <row r="521" spans="2:7" x14ac:dyDescent="0.35">
      <c r="B521" s="22"/>
      <c r="C521" s="22"/>
      <c r="G521" s="33"/>
    </row>
    <row r="522" spans="2:7" x14ac:dyDescent="0.35">
      <c r="B522" s="22"/>
      <c r="C522" s="22"/>
      <c r="G522" s="33"/>
    </row>
  </sheetData>
  <dataConsolidate/>
  <customSheetViews>
    <customSheetView guid="{AC4EA9A6-2CED-4841-B447-8AE2764D4F20}" scale="83" fitToPage="1">
      <selection activeCell="A6" sqref="A6:XFD11"/>
      <pageMargins left="0.51181102362204722" right="0.51181102362204722" top="0.74803149606299213" bottom="0.74803149606299213" header="0.31496062992125984" footer="0.31496062992125984"/>
      <pageSetup paperSize="9" scale="88" fitToHeight="13" orientation="landscape" horizontalDpi="300" verticalDpi="300" r:id="rId1"/>
      <headerFooter alignWithMargins="0">
        <oddFooter>&amp;R&amp;P</oddFooter>
      </headerFooter>
    </customSheetView>
  </customSheetViews>
  <phoneticPr fontId="5" type="noConversion"/>
  <pageMargins left="0.51181102362204722" right="0.51181102362204722" top="0.74803149606299213" bottom="0.74803149606299213" header="0.31496062992125984" footer="0.31496062992125984"/>
  <pageSetup paperSize="9" scale="60" fitToHeight="13" orientation="landscape" horizontalDpi="300" verticalDpi="300" r:id="rId2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68B1-DA20-482F-907D-2499B18DF944}">
  <sheetPr>
    <tabColor rgb="FFFFFFCC"/>
    <outlinePr summaryBelow="0" summaryRight="0"/>
    <pageSetUpPr fitToPage="1"/>
  </sheetPr>
  <dimension ref="A1:O522"/>
  <sheetViews>
    <sheetView zoomScaleNormal="100" workbookViewId="0">
      <pane ySplit="3" topLeftCell="A101" activePane="bottomLeft" state="frozen"/>
      <selection pane="bottomLeft" activeCell="M474" sqref="M474"/>
    </sheetView>
  </sheetViews>
  <sheetFormatPr baseColWidth="10" defaultColWidth="9.1796875" defaultRowHeight="14.5" outlineLevelRow="1" x14ac:dyDescent="0.35"/>
  <cols>
    <col min="1" max="1" width="7.81640625" style="14" customWidth="1"/>
    <col min="2" max="2" width="61.453125" style="16" customWidth="1"/>
    <col min="3" max="3" width="63.81640625" style="16" hidden="1" customWidth="1"/>
    <col min="4" max="4" width="17.81640625" style="27" customWidth="1"/>
    <col min="5" max="6" width="17.453125" style="27" customWidth="1"/>
    <col min="7" max="7" width="17.453125" style="28" customWidth="1"/>
    <col min="8" max="9" width="17.453125" style="27" customWidth="1"/>
    <col min="10" max="10" width="17.1796875" customWidth="1"/>
    <col min="11" max="12" width="16.81640625" customWidth="1"/>
  </cols>
  <sheetData>
    <row r="1" spans="1:12" x14ac:dyDescent="0.35">
      <c r="B1" s="17" t="s">
        <v>1292</v>
      </c>
    </row>
    <row r="2" spans="1:12" x14ac:dyDescent="0.35">
      <c r="J2" s="125" t="s">
        <v>1300</v>
      </c>
    </row>
    <row r="3" spans="1:12" x14ac:dyDescent="0.35">
      <c r="A3" s="18" t="s">
        <v>1</v>
      </c>
      <c r="B3" s="143" t="s">
        <v>2</v>
      </c>
      <c r="C3" s="20" t="s">
        <v>880</v>
      </c>
      <c r="D3" s="107" t="s">
        <v>1278</v>
      </c>
      <c r="E3" s="29" t="s">
        <v>1279</v>
      </c>
      <c r="F3" s="107" t="s">
        <v>1280</v>
      </c>
      <c r="G3" s="30" t="s">
        <v>1277</v>
      </c>
      <c r="H3" s="107" t="s">
        <v>1281</v>
      </c>
      <c r="I3" s="31" t="s">
        <v>1282</v>
      </c>
      <c r="J3" s="107" t="s">
        <v>1297</v>
      </c>
      <c r="K3" s="107" t="s">
        <v>1298</v>
      </c>
      <c r="L3" s="31" t="s">
        <v>1301</v>
      </c>
    </row>
    <row r="4" spans="1:12" x14ac:dyDescent="0.35">
      <c r="A4" s="93" t="s">
        <v>3</v>
      </c>
      <c r="B4" s="144" t="s">
        <v>4</v>
      </c>
      <c r="C4" s="26"/>
      <c r="D4" s="83"/>
      <c r="E4" s="63"/>
      <c r="F4" s="83"/>
      <c r="G4" s="64"/>
      <c r="H4" s="85"/>
      <c r="I4" s="66"/>
      <c r="K4" s="132"/>
      <c r="L4" s="127"/>
    </row>
    <row r="5" spans="1:12" collapsed="1" x14ac:dyDescent="0.35">
      <c r="A5" s="93"/>
      <c r="B5" s="144" t="s">
        <v>882</v>
      </c>
      <c r="C5" s="26"/>
      <c r="D5" s="84">
        <f t="shared" ref="D5:I14" si="0">SUM(D6:D11)</f>
        <v>0</v>
      </c>
      <c r="E5" s="64">
        <f t="shared" si="0"/>
        <v>0</v>
      </c>
      <c r="F5" s="84">
        <f t="shared" si="0"/>
        <v>0</v>
      </c>
      <c r="G5" s="64">
        <f t="shared" si="0"/>
        <v>0</v>
      </c>
      <c r="H5" s="84">
        <f t="shared" si="0"/>
        <v>0</v>
      </c>
      <c r="I5" s="84">
        <f t="shared" si="0"/>
        <v>0</v>
      </c>
      <c r="J5" s="71"/>
      <c r="K5" s="84">
        <f>J5+I5</f>
        <v>0</v>
      </c>
      <c r="L5" s="67">
        <f>K5+D5+E5+F5+G5+H5</f>
        <v>0</v>
      </c>
    </row>
    <row r="6" spans="1:12" s="25" customFormat="1" hidden="1" outlineLevel="1" x14ac:dyDescent="0.35">
      <c r="A6" s="94" t="s">
        <v>5</v>
      </c>
      <c r="B6" s="144" t="s">
        <v>6</v>
      </c>
      <c r="C6" s="95"/>
      <c r="D6" s="84"/>
      <c r="E6" s="63"/>
      <c r="F6" s="83"/>
      <c r="G6" s="64"/>
      <c r="H6" s="85"/>
      <c r="I6" s="67"/>
      <c r="J6" s="71"/>
      <c r="K6" s="84">
        <f t="shared" ref="K6:K13" si="1">J6+I6</f>
        <v>0</v>
      </c>
      <c r="L6" s="67">
        <f t="shared" ref="L6:L13" si="2">K6+D6+E6+F6+G6+H6</f>
        <v>0</v>
      </c>
    </row>
    <row r="7" spans="1:12" s="25" customFormat="1" hidden="1" outlineLevel="1" x14ac:dyDescent="0.35">
      <c r="A7" s="94" t="s">
        <v>7</v>
      </c>
      <c r="B7" s="144" t="s">
        <v>8</v>
      </c>
      <c r="C7" s="26"/>
      <c r="D7" s="84"/>
      <c r="E7" s="63"/>
      <c r="F7" s="83"/>
      <c r="G7" s="64"/>
      <c r="H7" s="85"/>
      <c r="I7" s="67"/>
      <c r="J7" s="71"/>
      <c r="K7" s="84">
        <f t="shared" si="1"/>
        <v>0</v>
      </c>
      <c r="L7" s="67">
        <f t="shared" si="2"/>
        <v>0</v>
      </c>
    </row>
    <row r="8" spans="1:12" s="25" customFormat="1" hidden="1" outlineLevel="1" x14ac:dyDescent="0.35">
      <c r="A8" s="94" t="s">
        <v>9</v>
      </c>
      <c r="B8" s="144" t="s">
        <v>10</v>
      </c>
      <c r="C8" s="26" t="s">
        <v>882</v>
      </c>
      <c r="D8" s="84"/>
      <c r="E8" s="63"/>
      <c r="F8" s="83"/>
      <c r="G8" s="64"/>
      <c r="H8" s="85"/>
      <c r="I8" s="67"/>
      <c r="J8" s="71"/>
      <c r="K8" s="84">
        <f t="shared" si="1"/>
        <v>0</v>
      </c>
      <c r="L8" s="67">
        <f t="shared" si="2"/>
        <v>0</v>
      </c>
    </row>
    <row r="9" spans="1:12" s="25" customFormat="1" hidden="1" outlineLevel="1" x14ac:dyDescent="0.35">
      <c r="A9" s="94" t="s">
        <v>11</v>
      </c>
      <c r="B9" s="144" t="s">
        <v>883</v>
      </c>
      <c r="C9" s="26" t="s">
        <v>882</v>
      </c>
      <c r="D9" s="84"/>
      <c r="E9" s="63"/>
      <c r="F9" s="83"/>
      <c r="G9" s="64"/>
      <c r="H9" s="85"/>
      <c r="I9" s="67"/>
      <c r="J9" s="71"/>
      <c r="K9" s="84">
        <f t="shared" si="1"/>
        <v>0</v>
      </c>
      <c r="L9" s="67">
        <f t="shared" si="2"/>
        <v>0</v>
      </c>
    </row>
    <row r="10" spans="1:12" s="25" customFormat="1" hidden="1" outlineLevel="1" x14ac:dyDescent="0.35">
      <c r="A10" s="94" t="s">
        <v>12</v>
      </c>
      <c r="B10" s="144" t="s">
        <v>13</v>
      </c>
      <c r="C10" s="26" t="s">
        <v>882</v>
      </c>
      <c r="D10" s="84"/>
      <c r="E10" s="63"/>
      <c r="F10" s="83"/>
      <c r="G10" s="64"/>
      <c r="H10" s="85"/>
      <c r="I10" s="67"/>
      <c r="J10" s="71"/>
      <c r="K10" s="84">
        <f t="shared" si="1"/>
        <v>0</v>
      </c>
      <c r="L10" s="67">
        <f t="shared" si="2"/>
        <v>0</v>
      </c>
    </row>
    <row r="11" spans="1:12" s="25" customFormat="1" hidden="1" outlineLevel="1" x14ac:dyDescent="0.35">
      <c r="A11" s="94" t="s">
        <v>14</v>
      </c>
      <c r="B11" s="144" t="s">
        <v>15</v>
      </c>
      <c r="C11" s="26" t="s">
        <v>882</v>
      </c>
      <c r="D11" s="84"/>
      <c r="E11" s="63"/>
      <c r="F11" s="83"/>
      <c r="G11" s="64"/>
      <c r="H11" s="85"/>
      <c r="I11" s="67"/>
      <c r="J11" s="71"/>
      <c r="K11" s="84">
        <f t="shared" si="1"/>
        <v>0</v>
      </c>
      <c r="L11" s="67">
        <f t="shared" si="2"/>
        <v>0</v>
      </c>
    </row>
    <row r="12" spans="1:12" s="25" customFormat="1" x14ac:dyDescent="0.35">
      <c r="A12" s="94" t="s">
        <v>16</v>
      </c>
      <c r="B12" s="144" t="s">
        <v>17</v>
      </c>
      <c r="C12" s="26"/>
      <c r="D12" s="84"/>
      <c r="E12" s="63"/>
      <c r="F12" s="83"/>
      <c r="G12" s="64"/>
      <c r="H12" s="85"/>
      <c r="I12" s="67"/>
      <c r="J12" s="71"/>
      <c r="K12" s="84">
        <f t="shared" si="1"/>
        <v>0</v>
      </c>
      <c r="L12" s="67">
        <f t="shared" si="2"/>
        <v>0</v>
      </c>
    </row>
    <row r="13" spans="1:12" s="25" customFormat="1" x14ac:dyDescent="0.35">
      <c r="A13" s="94" t="s">
        <v>18</v>
      </c>
      <c r="B13" s="144" t="s">
        <v>19</v>
      </c>
      <c r="C13" s="26"/>
      <c r="D13" s="84"/>
      <c r="E13" s="63"/>
      <c r="F13" s="83"/>
      <c r="G13" s="64"/>
      <c r="H13" s="85"/>
      <c r="I13" s="67"/>
      <c r="J13" s="71"/>
      <c r="K13" s="84">
        <f t="shared" si="1"/>
        <v>0</v>
      </c>
      <c r="L13" s="67">
        <f t="shared" si="2"/>
        <v>0</v>
      </c>
    </row>
    <row r="14" spans="1:12" collapsed="1" x14ac:dyDescent="0.35">
      <c r="A14" s="93"/>
      <c r="B14" s="144" t="s">
        <v>885</v>
      </c>
      <c r="C14" s="26"/>
      <c r="D14" s="84">
        <f t="shared" si="0"/>
        <v>0</v>
      </c>
      <c r="E14" s="64">
        <v>4285000</v>
      </c>
      <c r="F14" s="84">
        <f t="shared" ref="F14" si="3">SUM(F15:F20)</f>
        <v>808832</v>
      </c>
      <c r="G14" s="64">
        <f>SUM(G15:G28)</f>
        <v>928314</v>
      </c>
      <c r="H14" s="84">
        <f>SUM(H15:H20)</f>
        <v>1053000</v>
      </c>
      <c r="I14" s="84">
        <f t="shared" ref="I14" si="4">SUM(I15:I20)</f>
        <v>0</v>
      </c>
      <c r="J14" s="71"/>
      <c r="K14" s="84">
        <f t="shared" ref="K14:K77" si="5">J14+I14</f>
        <v>0</v>
      </c>
      <c r="L14" s="67">
        <f t="shared" ref="L14:L77" si="6">K14+D14+E14+F14+G14+H14</f>
        <v>7075146</v>
      </c>
    </row>
    <row r="15" spans="1:12" hidden="1" outlineLevel="1" x14ac:dyDescent="0.35">
      <c r="A15" s="93" t="s">
        <v>20</v>
      </c>
      <c r="B15" s="144" t="s">
        <v>21</v>
      </c>
      <c r="C15" s="95"/>
      <c r="D15" s="84"/>
      <c r="E15" s="63"/>
      <c r="F15" s="83">
        <v>43681</v>
      </c>
      <c r="G15" s="64">
        <v>82915</v>
      </c>
      <c r="H15" s="85">
        <v>48000</v>
      </c>
      <c r="I15" s="67"/>
      <c r="J15" s="71"/>
      <c r="K15" s="84">
        <f t="shared" si="5"/>
        <v>0</v>
      </c>
      <c r="L15" s="67">
        <f t="shared" si="6"/>
        <v>174596</v>
      </c>
    </row>
    <row r="16" spans="1:12" hidden="1" outlineLevel="1" x14ac:dyDescent="0.35">
      <c r="A16" s="93" t="s">
        <v>22</v>
      </c>
      <c r="B16" s="144" t="s">
        <v>23</v>
      </c>
      <c r="C16" s="26" t="s">
        <v>885</v>
      </c>
      <c r="D16" s="84"/>
      <c r="E16" s="63"/>
      <c r="F16" s="83">
        <v>545151</v>
      </c>
      <c r="G16" s="64">
        <v>13344</v>
      </c>
      <c r="H16" s="85">
        <v>105000</v>
      </c>
      <c r="I16" s="67"/>
      <c r="J16" s="71"/>
      <c r="K16" s="84">
        <f t="shared" si="5"/>
        <v>0</v>
      </c>
      <c r="L16" s="67">
        <f t="shared" si="6"/>
        <v>663495</v>
      </c>
    </row>
    <row r="17" spans="1:12" hidden="1" outlineLevel="1" x14ac:dyDescent="0.35">
      <c r="A17" s="93" t="s">
        <v>24</v>
      </c>
      <c r="B17" s="144" t="s">
        <v>25</v>
      </c>
      <c r="C17" s="26" t="s">
        <v>885</v>
      </c>
      <c r="D17" s="84"/>
      <c r="E17" s="63"/>
      <c r="F17" s="83">
        <v>220000</v>
      </c>
      <c r="G17" s="64">
        <v>10000</v>
      </c>
      <c r="H17" s="85">
        <v>425000</v>
      </c>
      <c r="I17" s="67"/>
      <c r="J17" s="71"/>
      <c r="K17" s="84">
        <f t="shared" si="5"/>
        <v>0</v>
      </c>
      <c r="L17" s="67">
        <f t="shared" si="6"/>
        <v>655000</v>
      </c>
    </row>
    <row r="18" spans="1:12" hidden="1" outlineLevel="1" x14ac:dyDescent="0.35">
      <c r="A18" s="93" t="s">
        <v>26</v>
      </c>
      <c r="B18" s="144" t="s">
        <v>27</v>
      </c>
      <c r="C18" s="26" t="s">
        <v>885</v>
      </c>
      <c r="D18" s="84"/>
      <c r="E18" s="63"/>
      <c r="F18" s="83"/>
      <c r="G18" s="64">
        <v>407055</v>
      </c>
      <c r="H18" s="85">
        <v>200000</v>
      </c>
      <c r="I18" s="67"/>
      <c r="J18" s="71"/>
      <c r="K18" s="84">
        <f t="shared" si="5"/>
        <v>0</v>
      </c>
      <c r="L18" s="67">
        <f t="shared" si="6"/>
        <v>607055</v>
      </c>
    </row>
    <row r="19" spans="1:12" s="11" customFormat="1" hidden="1" outlineLevel="1" x14ac:dyDescent="0.35">
      <c r="A19" s="93">
        <v>1104</v>
      </c>
      <c r="B19" s="144" t="s">
        <v>28</v>
      </c>
      <c r="C19" s="26" t="s">
        <v>885</v>
      </c>
      <c r="D19" s="84"/>
      <c r="E19" s="63"/>
      <c r="F19" s="83"/>
      <c r="G19" s="54"/>
      <c r="H19" s="83">
        <v>175000</v>
      </c>
      <c r="I19" s="67"/>
      <c r="J19" s="71"/>
      <c r="K19" s="84">
        <f t="shared" si="5"/>
        <v>0</v>
      </c>
      <c r="L19" s="67">
        <f t="shared" si="6"/>
        <v>175000</v>
      </c>
    </row>
    <row r="20" spans="1:12" hidden="1" outlineLevel="1" x14ac:dyDescent="0.35">
      <c r="A20" s="93" t="s">
        <v>29</v>
      </c>
      <c r="B20" s="144" t="s">
        <v>30</v>
      </c>
      <c r="C20" s="26" t="s">
        <v>885</v>
      </c>
      <c r="D20" s="84"/>
      <c r="E20" s="63"/>
      <c r="F20" s="83"/>
      <c r="G20" s="64"/>
      <c r="H20" s="85">
        <v>100000</v>
      </c>
      <c r="I20" s="67"/>
      <c r="J20" s="71"/>
      <c r="K20" s="84">
        <f t="shared" si="5"/>
        <v>0</v>
      </c>
      <c r="L20" s="67">
        <f t="shared" si="6"/>
        <v>100000</v>
      </c>
    </row>
    <row r="21" spans="1:12" hidden="1" outlineLevel="1" x14ac:dyDescent="0.35">
      <c r="A21" s="93" t="s">
        <v>31</v>
      </c>
      <c r="B21" s="144" t="s">
        <v>32</v>
      </c>
      <c r="C21" s="26" t="s">
        <v>885</v>
      </c>
      <c r="D21" s="84"/>
      <c r="E21" s="63"/>
      <c r="F21" s="83"/>
      <c r="G21" s="64"/>
      <c r="H21" s="85"/>
      <c r="I21" s="67"/>
      <c r="J21" s="71"/>
      <c r="K21" s="84">
        <f t="shared" si="5"/>
        <v>0</v>
      </c>
      <c r="L21" s="67">
        <f t="shared" si="6"/>
        <v>0</v>
      </c>
    </row>
    <row r="22" spans="1:12" hidden="1" outlineLevel="1" x14ac:dyDescent="0.35">
      <c r="A22" s="93" t="s">
        <v>33</v>
      </c>
      <c r="B22" s="144" t="s">
        <v>34</v>
      </c>
      <c r="C22" s="26" t="s">
        <v>885</v>
      </c>
      <c r="D22" s="84"/>
      <c r="E22" s="63"/>
      <c r="F22" s="83"/>
      <c r="G22" s="64"/>
      <c r="H22" s="85"/>
      <c r="I22" s="67"/>
      <c r="J22" s="71"/>
      <c r="K22" s="84">
        <f t="shared" si="5"/>
        <v>0</v>
      </c>
      <c r="L22" s="67">
        <f t="shared" si="6"/>
        <v>0</v>
      </c>
    </row>
    <row r="23" spans="1:12" hidden="1" outlineLevel="1" x14ac:dyDescent="0.35">
      <c r="A23" s="93" t="s">
        <v>35</v>
      </c>
      <c r="B23" s="144" t="s">
        <v>36</v>
      </c>
      <c r="C23" s="26" t="s">
        <v>885</v>
      </c>
      <c r="D23" s="84"/>
      <c r="E23" s="63"/>
      <c r="F23" s="83"/>
      <c r="G23" s="64"/>
      <c r="H23" s="85"/>
      <c r="I23" s="67"/>
      <c r="J23" s="71"/>
      <c r="K23" s="84">
        <f t="shared" si="5"/>
        <v>0</v>
      </c>
      <c r="L23" s="67">
        <f t="shared" si="6"/>
        <v>0</v>
      </c>
    </row>
    <row r="24" spans="1:12" hidden="1" outlineLevel="1" x14ac:dyDescent="0.35">
      <c r="A24" s="93" t="s">
        <v>37</v>
      </c>
      <c r="B24" s="144" t="s">
        <v>38</v>
      </c>
      <c r="C24" s="26" t="s">
        <v>885</v>
      </c>
      <c r="D24" s="84"/>
      <c r="E24" s="63"/>
      <c r="F24" s="83"/>
      <c r="G24" s="64"/>
      <c r="H24" s="85"/>
      <c r="I24" s="67"/>
      <c r="J24" s="71"/>
      <c r="K24" s="84">
        <f t="shared" si="5"/>
        <v>0</v>
      </c>
      <c r="L24" s="67">
        <f t="shared" si="6"/>
        <v>0</v>
      </c>
    </row>
    <row r="25" spans="1:12" hidden="1" outlineLevel="1" x14ac:dyDescent="0.35">
      <c r="A25" s="93" t="s">
        <v>39</v>
      </c>
      <c r="B25" s="144" t="s">
        <v>40</v>
      </c>
      <c r="C25" s="26" t="s">
        <v>885</v>
      </c>
      <c r="D25" s="84"/>
      <c r="E25" s="63"/>
      <c r="F25" s="83"/>
      <c r="G25" s="64"/>
      <c r="H25" s="85"/>
      <c r="I25" s="67"/>
      <c r="J25" s="71"/>
      <c r="K25" s="84">
        <f t="shared" si="5"/>
        <v>0</v>
      </c>
      <c r="L25" s="67">
        <f t="shared" si="6"/>
        <v>0</v>
      </c>
    </row>
    <row r="26" spans="1:12" hidden="1" outlineLevel="1" x14ac:dyDescent="0.35">
      <c r="A26" s="93" t="s">
        <v>41</v>
      </c>
      <c r="B26" s="144" t="s">
        <v>42</v>
      </c>
      <c r="C26" s="26" t="s">
        <v>885</v>
      </c>
      <c r="D26" s="84"/>
      <c r="E26" s="63"/>
      <c r="F26" s="83"/>
      <c r="G26" s="64"/>
      <c r="H26" s="85"/>
      <c r="I26" s="67"/>
      <c r="J26" s="71"/>
      <c r="K26" s="84">
        <f t="shared" si="5"/>
        <v>0</v>
      </c>
      <c r="L26" s="67">
        <f t="shared" si="6"/>
        <v>0</v>
      </c>
    </row>
    <row r="27" spans="1:12" hidden="1" outlineLevel="1" x14ac:dyDescent="0.35">
      <c r="A27" s="93" t="s">
        <v>43</v>
      </c>
      <c r="B27" s="144" t="s">
        <v>44</v>
      </c>
      <c r="C27" s="26" t="s">
        <v>885</v>
      </c>
      <c r="D27" s="84"/>
      <c r="E27" s="63"/>
      <c r="F27" s="83"/>
      <c r="G27" s="64">
        <f>200000+215000</f>
        <v>415000</v>
      </c>
      <c r="H27" s="85"/>
      <c r="I27" s="67"/>
      <c r="J27" s="71"/>
      <c r="K27" s="84">
        <f t="shared" si="5"/>
        <v>0</v>
      </c>
      <c r="L27" s="67">
        <f t="shared" si="6"/>
        <v>415000</v>
      </c>
    </row>
    <row r="28" spans="1:12" hidden="1" outlineLevel="1" x14ac:dyDescent="0.35">
      <c r="A28" s="93" t="s">
        <v>45</v>
      </c>
      <c r="B28" s="144" t="s">
        <v>46</v>
      </c>
      <c r="C28" s="26" t="s">
        <v>885</v>
      </c>
      <c r="D28" s="84"/>
      <c r="E28" s="63"/>
      <c r="F28" s="83"/>
      <c r="G28" s="64"/>
      <c r="H28" s="85"/>
      <c r="I28" s="67"/>
      <c r="J28" s="71"/>
      <c r="K28" s="84">
        <f t="shared" si="5"/>
        <v>0</v>
      </c>
      <c r="L28" s="67">
        <f t="shared" si="6"/>
        <v>0</v>
      </c>
    </row>
    <row r="29" spans="1:12" collapsed="1" x14ac:dyDescent="0.35">
      <c r="A29" s="96"/>
      <c r="B29" s="145" t="s">
        <v>48</v>
      </c>
      <c r="C29" s="95"/>
      <c r="D29" s="85">
        <f>SUM(D30:D31)</f>
        <v>0</v>
      </c>
      <c r="E29" s="65">
        <f t="shared" ref="E29:G29" si="7">SUM(E30:E31)</f>
        <v>0</v>
      </c>
      <c r="F29" s="85">
        <f t="shared" si="7"/>
        <v>0</v>
      </c>
      <c r="G29" s="65">
        <f t="shared" si="7"/>
        <v>0</v>
      </c>
      <c r="H29" s="85">
        <f>SUM(H30:H31)</f>
        <v>0</v>
      </c>
      <c r="I29" s="85">
        <f>SUM(I30:I31)</f>
        <v>0</v>
      </c>
      <c r="J29" s="71"/>
      <c r="K29" s="84">
        <f t="shared" si="5"/>
        <v>0</v>
      </c>
      <c r="L29" s="67">
        <f t="shared" si="6"/>
        <v>0</v>
      </c>
    </row>
    <row r="30" spans="1:12" hidden="1" outlineLevel="1" collapsed="1" x14ac:dyDescent="0.35">
      <c r="A30" s="93" t="s">
        <v>47</v>
      </c>
      <c r="B30" s="144" t="s">
        <v>48</v>
      </c>
      <c r="C30" s="26" t="s">
        <v>48</v>
      </c>
      <c r="D30" s="84"/>
      <c r="E30" s="64"/>
      <c r="F30" s="84"/>
      <c r="G30" s="64"/>
      <c r="H30" s="85"/>
      <c r="I30" s="84"/>
      <c r="J30" s="71"/>
      <c r="K30" s="84">
        <f t="shared" si="5"/>
        <v>0</v>
      </c>
      <c r="L30" s="67">
        <f t="shared" si="6"/>
        <v>0</v>
      </c>
    </row>
    <row r="31" spans="1:12" hidden="1" outlineLevel="1" x14ac:dyDescent="0.35">
      <c r="A31" s="93" t="s">
        <v>49</v>
      </c>
      <c r="B31" s="144" t="s">
        <v>50</v>
      </c>
      <c r="C31" s="26" t="s">
        <v>48</v>
      </c>
      <c r="D31" s="84"/>
      <c r="E31" s="63"/>
      <c r="F31" s="83"/>
      <c r="G31" s="64"/>
      <c r="H31" s="85"/>
      <c r="I31" s="84"/>
      <c r="J31" s="71"/>
      <c r="K31" s="84">
        <f t="shared" si="5"/>
        <v>0</v>
      </c>
      <c r="L31" s="67">
        <f t="shared" si="6"/>
        <v>0</v>
      </c>
    </row>
    <row r="32" spans="1:12" collapsed="1" x14ac:dyDescent="0.35">
      <c r="A32" s="96"/>
      <c r="B32" s="144" t="s">
        <v>886</v>
      </c>
      <c r="C32" s="95"/>
      <c r="D32" s="85">
        <f>SUM(D33:D38)</f>
        <v>0</v>
      </c>
      <c r="E32" s="65">
        <f t="shared" ref="E32:G32" si="8">SUM(E33:E38)</f>
        <v>0</v>
      </c>
      <c r="F32" s="85">
        <f t="shared" si="8"/>
        <v>109000</v>
      </c>
      <c r="G32" s="65">
        <f t="shared" si="8"/>
        <v>215408</v>
      </c>
      <c r="H32" s="85">
        <f>SUM(H33:H38)</f>
        <v>176430</v>
      </c>
      <c r="I32" s="85">
        <f>SUM(I33:I38)</f>
        <v>0</v>
      </c>
      <c r="J32" s="71"/>
      <c r="K32" s="84">
        <f t="shared" si="5"/>
        <v>0</v>
      </c>
      <c r="L32" s="67">
        <f t="shared" si="6"/>
        <v>500838</v>
      </c>
    </row>
    <row r="33" spans="1:12" hidden="1" outlineLevel="1" collapsed="1" x14ac:dyDescent="0.35">
      <c r="A33" s="93" t="s">
        <v>51</v>
      </c>
      <c r="B33" s="144" t="s">
        <v>52</v>
      </c>
      <c r="C33" s="26" t="s">
        <v>886</v>
      </c>
      <c r="D33" s="84"/>
      <c r="E33" s="63"/>
      <c r="F33" s="83"/>
      <c r="G33" s="64"/>
      <c r="H33" s="85">
        <v>21000</v>
      </c>
      <c r="I33" s="67"/>
      <c r="J33" s="71"/>
      <c r="K33" s="84">
        <f t="shared" si="5"/>
        <v>0</v>
      </c>
      <c r="L33" s="67">
        <f t="shared" si="6"/>
        <v>21000</v>
      </c>
    </row>
    <row r="34" spans="1:12" hidden="1" outlineLevel="1" x14ac:dyDescent="0.35">
      <c r="A34" s="93" t="s">
        <v>53</v>
      </c>
      <c r="B34" s="144" t="s">
        <v>54</v>
      </c>
      <c r="C34" s="26" t="s">
        <v>886</v>
      </c>
      <c r="D34" s="84"/>
      <c r="E34" s="63"/>
      <c r="F34" s="83">
        <v>109000</v>
      </c>
      <c r="G34" s="64">
        <f>116941+16803+81664</f>
        <v>215408</v>
      </c>
      <c r="H34" s="85">
        <f>69430+1000+85000</f>
        <v>155430</v>
      </c>
      <c r="I34" s="67"/>
      <c r="J34" s="71"/>
      <c r="K34" s="84">
        <f t="shared" si="5"/>
        <v>0</v>
      </c>
      <c r="L34" s="67">
        <f t="shared" si="6"/>
        <v>479838</v>
      </c>
    </row>
    <row r="35" spans="1:12" hidden="1" outlineLevel="1" x14ac:dyDescent="0.35">
      <c r="A35" s="93" t="s">
        <v>55</v>
      </c>
      <c r="B35" s="144" t="s">
        <v>56</v>
      </c>
      <c r="C35" s="26" t="s">
        <v>886</v>
      </c>
      <c r="D35" s="84"/>
      <c r="E35" s="63"/>
      <c r="F35" s="83"/>
      <c r="G35" s="64"/>
      <c r="H35" s="85"/>
      <c r="I35" s="67"/>
      <c r="J35" s="71"/>
      <c r="K35" s="84">
        <f t="shared" si="5"/>
        <v>0</v>
      </c>
      <c r="L35" s="67">
        <f t="shared" si="6"/>
        <v>0</v>
      </c>
    </row>
    <row r="36" spans="1:12" hidden="1" outlineLevel="1" x14ac:dyDescent="0.35">
      <c r="A36" s="93" t="s">
        <v>57</v>
      </c>
      <c r="B36" s="144" t="s">
        <v>58</v>
      </c>
      <c r="C36" s="26" t="s">
        <v>886</v>
      </c>
      <c r="D36" s="84"/>
      <c r="E36" s="63"/>
      <c r="F36" s="83"/>
      <c r="G36" s="64"/>
      <c r="H36" s="85"/>
      <c r="I36" s="67"/>
      <c r="J36" s="71"/>
      <c r="K36" s="84">
        <f t="shared" si="5"/>
        <v>0</v>
      </c>
      <c r="L36" s="67">
        <f t="shared" si="6"/>
        <v>0</v>
      </c>
    </row>
    <row r="37" spans="1:12" hidden="1" outlineLevel="1" x14ac:dyDescent="0.35">
      <c r="A37" s="93" t="s">
        <v>59</v>
      </c>
      <c r="B37" s="144" t="s">
        <v>60</v>
      </c>
      <c r="C37" s="26" t="s">
        <v>886</v>
      </c>
      <c r="D37" s="84"/>
      <c r="E37" s="63"/>
      <c r="F37" s="83"/>
      <c r="G37" s="64"/>
      <c r="H37" s="85"/>
      <c r="I37" s="67"/>
      <c r="J37" s="71"/>
      <c r="K37" s="84">
        <f t="shared" si="5"/>
        <v>0</v>
      </c>
      <c r="L37" s="67">
        <f t="shared" si="6"/>
        <v>0</v>
      </c>
    </row>
    <row r="38" spans="1:12" hidden="1" outlineLevel="1" x14ac:dyDescent="0.35">
      <c r="A38" s="93" t="s">
        <v>61</v>
      </c>
      <c r="B38" s="144" t="s">
        <v>62</v>
      </c>
      <c r="C38" s="26" t="s">
        <v>886</v>
      </c>
      <c r="D38" s="84"/>
      <c r="E38" s="63"/>
      <c r="F38" s="83"/>
      <c r="G38" s="64"/>
      <c r="H38" s="85"/>
      <c r="I38" s="67"/>
      <c r="J38" s="71"/>
      <c r="K38" s="84">
        <f t="shared" si="5"/>
        <v>0</v>
      </c>
      <c r="L38" s="67">
        <f t="shared" si="6"/>
        <v>0</v>
      </c>
    </row>
    <row r="39" spans="1:12" collapsed="1" x14ac:dyDescent="0.35">
      <c r="A39" s="93" t="s">
        <v>63</v>
      </c>
      <c r="B39" s="144" t="s">
        <v>64</v>
      </c>
      <c r="C39" s="26" t="s">
        <v>64</v>
      </c>
      <c r="D39" s="84"/>
      <c r="E39" s="63"/>
      <c r="F39" s="83"/>
      <c r="G39" s="64"/>
      <c r="H39" s="85"/>
      <c r="I39" s="67"/>
      <c r="J39" s="71"/>
      <c r="K39" s="84">
        <f t="shared" si="5"/>
        <v>0</v>
      </c>
      <c r="L39" s="67">
        <f t="shared" si="6"/>
        <v>0</v>
      </c>
    </row>
    <row r="40" spans="1:12" x14ac:dyDescent="0.35">
      <c r="A40" s="93" t="s">
        <v>65</v>
      </c>
      <c r="B40" s="144" t="s">
        <v>66</v>
      </c>
      <c r="C40" s="26" t="s">
        <v>66</v>
      </c>
      <c r="D40" s="84"/>
      <c r="E40" s="63"/>
      <c r="F40" s="83"/>
      <c r="G40" s="64"/>
      <c r="H40" s="85"/>
      <c r="I40" s="67"/>
      <c r="J40" s="71"/>
      <c r="K40" s="84">
        <f t="shared" si="5"/>
        <v>0</v>
      </c>
      <c r="L40" s="67">
        <f t="shared" si="6"/>
        <v>0</v>
      </c>
    </row>
    <row r="41" spans="1:12" x14ac:dyDescent="0.35">
      <c r="A41" s="93" t="s">
        <v>67</v>
      </c>
      <c r="B41" s="144" t="s">
        <v>68</v>
      </c>
      <c r="C41" s="26" t="s">
        <v>68</v>
      </c>
      <c r="D41" s="84"/>
      <c r="E41" s="63"/>
      <c r="F41" s="83"/>
      <c r="G41" s="64"/>
      <c r="H41" s="85"/>
      <c r="I41" s="67"/>
      <c r="J41" s="71"/>
      <c r="K41" s="84">
        <f t="shared" si="5"/>
        <v>0</v>
      </c>
      <c r="L41" s="67">
        <f t="shared" si="6"/>
        <v>0</v>
      </c>
    </row>
    <row r="42" spans="1:12" x14ac:dyDescent="0.35">
      <c r="A42" s="93" t="s">
        <v>69</v>
      </c>
      <c r="B42" s="144" t="s">
        <v>70</v>
      </c>
      <c r="C42" s="26" t="s">
        <v>887</v>
      </c>
      <c r="D42" s="84"/>
      <c r="E42" s="63"/>
      <c r="F42" s="83"/>
      <c r="G42" s="64"/>
      <c r="H42" s="85"/>
      <c r="I42" s="67"/>
      <c r="J42" s="71"/>
      <c r="K42" s="84">
        <f t="shared" si="5"/>
        <v>0</v>
      </c>
      <c r="L42" s="67">
        <f t="shared" si="6"/>
        <v>0</v>
      </c>
    </row>
    <row r="43" spans="1:12" x14ac:dyDescent="0.35">
      <c r="A43" s="93" t="s">
        <v>71</v>
      </c>
      <c r="B43" s="144" t="s">
        <v>72</v>
      </c>
      <c r="C43" s="26" t="s">
        <v>72</v>
      </c>
      <c r="D43" s="84"/>
      <c r="E43" s="63"/>
      <c r="F43" s="83"/>
      <c r="G43" s="64"/>
      <c r="H43" s="85"/>
      <c r="I43" s="67"/>
      <c r="J43" s="71"/>
      <c r="K43" s="84">
        <f t="shared" si="5"/>
        <v>0</v>
      </c>
      <c r="L43" s="67">
        <f t="shared" si="6"/>
        <v>0</v>
      </c>
    </row>
    <row r="44" spans="1:12" collapsed="1" x14ac:dyDescent="0.35">
      <c r="A44" s="93"/>
      <c r="B44" s="144" t="s">
        <v>888</v>
      </c>
      <c r="C44" s="26"/>
      <c r="D44" s="84">
        <f>SUM(D45:D46)</f>
        <v>0</v>
      </c>
      <c r="E44" s="64">
        <f t="shared" ref="E44:I44" si="9">SUM(E45:E46)</f>
        <v>0</v>
      </c>
      <c r="F44" s="84">
        <f t="shared" si="9"/>
        <v>0</v>
      </c>
      <c r="G44" s="64">
        <f t="shared" si="9"/>
        <v>0</v>
      </c>
      <c r="H44" s="84">
        <f t="shared" si="9"/>
        <v>0</v>
      </c>
      <c r="I44" s="64">
        <f t="shared" si="9"/>
        <v>0</v>
      </c>
      <c r="J44" s="71"/>
      <c r="K44" s="84">
        <f t="shared" si="5"/>
        <v>0</v>
      </c>
      <c r="L44" s="67">
        <f t="shared" si="6"/>
        <v>0</v>
      </c>
    </row>
    <row r="45" spans="1:12" hidden="1" outlineLevel="1" x14ac:dyDescent="0.35">
      <c r="A45" s="93" t="s">
        <v>73</v>
      </c>
      <c r="B45" s="146" t="s">
        <v>74</v>
      </c>
      <c r="C45" s="26" t="s">
        <v>888</v>
      </c>
      <c r="D45" s="84"/>
      <c r="E45" s="63"/>
      <c r="F45" s="83"/>
      <c r="G45" s="64"/>
      <c r="H45" s="85"/>
      <c r="I45" s="67"/>
      <c r="J45" s="71"/>
      <c r="K45" s="84">
        <f t="shared" si="5"/>
        <v>0</v>
      </c>
      <c r="L45" s="67">
        <f t="shared" si="6"/>
        <v>0</v>
      </c>
    </row>
    <row r="46" spans="1:12" hidden="1" outlineLevel="1" x14ac:dyDescent="0.35">
      <c r="A46" s="93" t="s">
        <v>75</v>
      </c>
      <c r="B46" s="146" t="s">
        <v>76</v>
      </c>
      <c r="C46" s="26" t="s">
        <v>888</v>
      </c>
      <c r="D46" s="84"/>
      <c r="E46" s="63"/>
      <c r="F46" s="83"/>
      <c r="G46" s="64"/>
      <c r="H46" s="85"/>
      <c r="I46" s="67"/>
      <c r="J46" s="71"/>
      <c r="K46" s="84">
        <f t="shared" si="5"/>
        <v>0</v>
      </c>
      <c r="L46" s="67">
        <f t="shared" si="6"/>
        <v>0</v>
      </c>
    </row>
    <row r="47" spans="1:12" collapsed="1" x14ac:dyDescent="0.35">
      <c r="A47" s="93"/>
      <c r="B47" s="144" t="s">
        <v>889</v>
      </c>
      <c r="C47" s="26"/>
      <c r="D47" s="84">
        <f>SUM(D48:D51)</f>
        <v>0</v>
      </c>
      <c r="E47" s="64">
        <f t="shared" ref="E47:I47" si="10">SUM(E48:E51)</f>
        <v>0</v>
      </c>
      <c r="F47" s="84">
        <f t="shared" si="10"/>
        <v>0</v>
      </c>
      <c r="G47" s="64">
        <f t="shared" si="10"/>
        <v>0</v>
      </c>
      <c r="H47" s="84">
        <f>SUM(H48:H51)</f>
        <v>0</v>
      </c>
      <c r="I47" s="64">
        <f t="shared" si="10"/>
        <v>0</v>
      </c>
      <c r="J47" s="71"/>
      <c r="K47" s="84">
        <f t="shared" si="5"/>
        <v>0</v>
      </c>
      <c r="L47" s="67">
        <f t="shared" si="6"/>
        <v>0</v>
      </c>
    </row>
    <row r="48" spans="1:12" hidden="1" outlineLevel="1" x14ac:dyDescent="0.35">
      <c r="A48" s="93" t="s">
        <v>77</v>
      </c>
      <c r="B48" s="144" t="s">
        <v>78</v>
      </c>
      <c r="C48" s="26" t="s">
        <v>889</v>
      </c>
      <c r="D48" s="84"/>
      <c r="E48" s="63"/>
      <c r="F48" s="83"/>
      <c r="G48" s="64"/>
      <c r="H48" s="85"/>
      <c r="I48" s="67"/>
      <c r="J48" s="71"/>
      <c r="K48" s="84">
        <f t="shared" si="5"/>
        <v>0</v>
      </c>
      <c r="L48" s="67">
        <f t="shared" si="6"/>
        <v>0</v>
      </c>
    </row>
    <row r="49" spans="1:12" hidden="1" outlineLevel="1" x14ac:dyDescent="0.35">
      <c r="A49" s="93" t="s">
        <v>79</v>
      </c>
      <c r="B49" s="144" t="s">
        <v>80</v>
      </c>
      <c r="C49" s="26" t="s">
        <v>889</v>
      </c>
      <c r="D49" s="84"/>
      <c r="E49" s="63"/>
      <c r="F49" s="83"/>
      <c r="G49" s="64"/>
      <c r="H49" s="85"/>
      <c r="I49" s="67"/>
      <c r="J49" s="71"/>
      <c r="K49" s="84">
        <f t="shared" si="5"/>
        <v>0</v>
      </c>
      <c r="L49" s="67">
        <f t="shared" si="6"/>
        <v>0</v>
      </c>
    </row>
    <row r="50" spans="1:12" hidden="1" outlineLevel="1" x14ac:dyDescent="0.35">
      <c r="A50" s="93" t="s">
        <v>81</v>
      </c>
      <c r="B50" s="146" t="s">
        <v>82</v>
      </c>
      <c r="C50" s="26" t="s">
        <v>889</v>
      </c>
      <c r="D50" s="84"/>
      <c r="E50" s="63"/>
      <c r="F50" s="83"/>
      <c r="G50" s="64"/>
      <c r="H50" s="85"/>
      <c r="I50" s="67"/>
      <c r="J50" s="71"/>
      <c r="K50" s="84">
        <f t="shared" si="5"/>
        <v>0</v>
      </c>
      <c r="L50" s="67">
        <f t="shared" si="6"/>
        <v>0</v>
      </c>
    </row>
    <row r="51" spans="1:12" hidden="1" outlineLevel="1" x14ac:dyDescent="0.35">
      <c r="A51" s="98" t="s">
        <v>83</v>
      </c>
      <c r="B51" s="147" t="s">
        <v>84</v>
      </c>
      <c r="C51" s="26" t="s">
        <v>889</v>
      </c>
      <c r="D51" s="84"/>
      <c r="E51" s="63"/>
      <c r="F51" s="83"/>
      <c r="G51" s="64"/>
      <c r="H51" s="85"/>
      <c r="I51" s="67"/>
      <c r="J51" s="71"/>
      <c r="K51" s="84">
        <f t="shared" si="5"/>
        <v>0</v>
      </c>
      <c r="L51" s="67">
        <f t="shared" si="6"/>
        <v>0</v>
      </c>
    </row>
    <row r="52" spans="1:12" collapsed="1" x14ac:dyDescent="0.35">
      <c r="A52" s="98"/>
      <c r="B52" s="144" t="s">
        <v>890</v>
      </c>
      <c r="C52" s="26"/>
      <c r="D52" s="84">
        <f>SUM(D53:D58)</f>
        <v>0</v>
      </c>
      <c r="E52" s="64">
        <f t="shared" ref="E52:I52" si="11">SUM(E53:E58)</f>
        <v>0</v>
      </c>
      <c r="F52" s="84">
        <f t="shared" si="11"/>
        <v>191176</v>
      </c>
      <c r="G52" s="64">
        <f t="shared" si="11"/>
        <v>43909</v>
      </c>
      <c r="H52" s="84">
        <f>SUM(H53:H58)</f>
        <v>175489</v>
      </c>
      <c r="I52" s="84">
        <f t="shared" si="11"/>
        <v>0</v>
      </c>
      <c r="J52" s="71"/>
      <c r="K52" s="84">
        <f t="shared" si="5"/>
        <v>0</v>
      </c>
      <c r="L52" s="67">
        <f t="shared" si="6"/>
        <v>410574</v>
      </c>
    </row>
    <row r="53" spans="1:12" hidden="1" outlineLevel="1" x14ac:dyDescent="0.35">
      <c r="A53" s="93" t="s">
        <v>85</v>
      </c>
      <c r="B53" s="144" t="s">
        <v>86</v>
      </c>
      <c r="C53" s="26" t="s">
        <v>890</v>
      </c>
      <c r="D53" s="84"/>
      <c r="E53" s="63"/>
      <c r="F53" s="83"/>
      <c r="G53" s="64"/>
      <c r="H53" s="85"/>
      <c r="I53" s="67"/>
      <c r="J53" s="71"/>
      <c r="K53" s="84">
        <f t="shared" si="5"/>
        <v>0</v>
      </c>
      <c r="L53" s="67">
        <f t="shared" si="6"/>
        <v>0</v>
      </c>
    </row>
    <row r="54" spans="1:12" hidden="1" outlineLevel="1" x14ac:dyDescent="0.35">
      <c r="A54" s="93" t="s">
        <v>87</v>
      </c>
      <c r="B54" s="144" t="s">
        <v>88</v>
      </c>
      <c r="C54" s="26" t="s">
        <v>890</v>
      </c>
      <c r="D54" s="84"/>
      <c r="E54" s="63"/>
      <c r="F54" s="83"/>
      <c r="G54" s="64"/>
      <c r="H54" s="85"/>
      <c r="I54" s="67"/>
      <c r="J54" s="71"/>
      <c r="K54" s="84">
        <f t="shared" si="5"/>
        <v>0</v>
      </c>
      <c r="L54" s="67">
        <f t="shared" si="6"/>
        <v>0</v>
      </c>
    </row>
    <row r="55" spans="1:12" hidden="1" outlineLevel="1" x14ac:dyDescent="0.35">
      <c r="A55" s="93" t="s">
        <v>89</v>
      </c>
      <c r="B55" s="144" t="s">
        <v>90</v>
      </c>
      <c r="C55" s="26" t="s">
        <v>890</v>
      </c>
      <c r="D55" s="84"/>
      <c r="E55" s="63"/>
      <c r="F55" s="83"/>
      <c r="G55" s="64"/>
      <c r="H55" s="85"/>
      <c r="I55" s="67"/>
      <c r="J55" s="71"/>
      <c r="K55" s="84">
        <f t="shared" si="5"/>
        <v>0</v>
      </c>
      <c r="L55" s="67">
        <f t="shared" si="6"/>
        <v>0</v>
      </c>
    </row>
    <row r="56" spans="1:12" hidden="1" outlineLevel="1" x14ac:dyDescent="0.35">
      <c r="A56" s="93" t="s">
        <v>91</v>
      </c>
      <c r="B56" s="144" t="s">
        <v>92</v>
      </c>
      <c r="C56" s="26" t="s">
        <v>890</v>
      </c>
      <c r="D56" s="84"/>
      <c r="E56" s="63"/>
      <c r="F56" s="83">
        <f>41472+134384+15320</f>
        <v>191176</v>
      </c>
      <c r="G56" s="64">
        <v>88167</v>
      </c>
      <c r="H56" s="85">
        <v>1000</v>
      </c>
      <c r="I56" s="67"/>
      <c r="J56" s="71"/>
      <c r="K56" s="84">
        <f t="shared" si="5"/>
        <v>0</v>
      </c>
      <c r="L56" s="67">
        <f t="shared" si="6"/>
        <v>280343</v>
      </c>
    </row>
    <row r="57" spans="1:12" hidden="1" outlineLevel="1" x14ac:dyDescent="0.35">
      <c r="A57" s="93" t="s">
        <v>93</v>
      </c>
      <c r="B57" s="144" t="s">
        <v>94</v>
      </c>
      <c r="C57" s="26" t="s">
        <v>890</v>
      </c>
      <c r="D57" s="84"/>
      <c r="E57" s="63"/>
      <c r="F57" s="83"/>
      <c r="G57" s="64">
        <v>-44258</v>
      </c>
      <c r="H57" s="85">
        <v>174489</v>
      </c>
      <c r="I57" s="67"/>
      <c r="J57" s="71"/>
      <c r="K57" s="84">
        <f t="shared" si="5"/>
        <v>0</v>
      </c>
      <c r="L57" s="67">
        <f t="shared" si="6"/>
        <v>130231</v>
      </c>
    </row>
    <row r="58" spans="1:12" hidden="1" outlineLevel="1" x14ac:dyDescent="0.35">
      <c r="A58" s="93" t="s">
        <v>95</v>
      </c>
      <c r="B58" s="144" t="s">
        <v>96</v>
      </c>
      <c r="C58" s="26" t="s">
        <v>890</v>
      </c>
      <c r="D58" s="84"/>
      <c r="E58" s="63"/>
      <c r="F58" s="83"/>
      <c r="G58" s="64"/>
      <c r="H58" s="85"/>
      <c r="I58" s="67"/>
      <c r="J58" s="71"/>
      <c r="K58" s="84">
        <f t="shared" si="5"/>
        <v>0</v>
      </c>
      <c r="L58" s="67">
        <f t="shared" si="6"/>
        <v>0</v>
      </c>
    </row>
    <row r="59" spans="1:12" collapsed="1" x14ac:dyDescent="0.35">
      <c r="A59" s="96"/>
      <c r="B59" s="144" t="s">
        <v>98</v>
      </c>
      <c r="C59" s="95"/>
      <c r="D59" s="85">
        <f>SUM(D60:D64)</f>
        <v>0</v>
      </c>
      <c r="E59" s="65">
        <f t="shared" ref="E59:I59" si="12">SUM(E60:E64)</f>
        <v>0</v>
      </c>
      <c r="F59" s="85">
        <f t="shared" si="12"/>
        <v>3300</v>
      </c>
      <c r="G59" s="65">
        <f t="shared" si="12"/>
        <v>3750</v>
      </c>
      <c r="H59" s="85">
        <f t="shared" si="12"/>
        <v>9615</v>
      </c>
      <c r="I59" s="65">
        <f t="shared" si="12"/>
        <v>430352</v>
      </c>
      <c r="J59" s="71"/>
      <c r="K59" s="84">
        <f t="shared" si="5"/>
        <v>430352</v>
      </c>
      <c r="L59" s="67">
        <f t="shared" si="6"/>
        <v>447017</v>
      </c>
    </row>
    <row r="60" spans="1:12" hidden="1" outlineLevel="1" x14ac:dyDescent="0.35">
      <c r="A60" s="93" t="s">
        <v>97</v>
      </c>
      <c r="B60" s="144" t="s">
        <v>98</v>
      </c>
      <c r="C60" s="26" t="s">
        <v>98</v>
      </c>
      <c r="D60" s="84"/>
      <c r="E60" s="63"/>
      <c r="F60" s="83">
        <v>3300</v>
      </c>
      <c r="G60" s="64">
        <v>3750</v>
      </c>
      <c r="H60" s="85">
        <v>9615</v>
      </c>
      <c r="I60" s="67"/>
      <c r="J60" s="71"/>
      <c r="K60" s="84">
        <f t="shared" si="5"/>
        <v>0</v>
      </c>
      <c r="L60" s="67">
        <f t="shared" si="6"/>
        <v>16665</v>
      </c>
    </row>
    <row r="61" spans="1:12" hidden="1" outlineLevel="1" x14ac:dyDescent="0.35">
      <c r="A61" s="93" t="s">
        <v>105</v>
      </c>
      <c r="B61" s="144" t="s">
        <v>106</v>
      </c>
      <c r="C61" s="26" t="s">
        <v>98</v>
      </c>
      <c r="D61" s="84"/>
      <c r="E61" s="63"/>
      <c r="F61" s="83"/>
      <c r="G61" s="64"/>
      <c r="H61" s="85"/>
      <c r="I61" s="67"/>
      <c r="J61" s="71"/>
      <c r="K61" s="84">
        <f t="shared" si="5"/>
        <v>0</v>
      </c>
      <c r="L61" s="67">
        <f t="shared" si="6"/>
        <v>0</v>
      </c>
    </row>
    <row r="62" spans="1:12" hidden="1" outlineLevel="1" x14ac:dyDescent="0.35">
      <c r="A62" s="93" t="s">
        <v>112</v>
      </c>
      <c r="B62" s="144" t="s">
        <v>113</v>
      </c>
      <c r="C62" s="26" t="s">
        <v>98</v>
      </c>
      <c r="D62" s="84"/>
      <c r="E62" s="63"/>
      <c r="F62" s="83"/>
      <c r="G62" s="64"/>
      <c r="H62" s="85"/>
      <c r="I62" s="67">
        <v>430352</v>
      </c>
      <c r="J62" s="71"/>
      <c r="K62" s="84">
        <f t="shared" si="5"/>
        <v>430352</v>
      </c>
      <c r="L62" s="67">
        <f t="shared" si="6"/>
        <v>430352</v>
      </c>
    </row>
    <row r="63" spans="1:12" hidden="1" outlineLevel="1" x14ac:dyDescent="0.35">
      <c r="A63" s="93" t="s">
        <v>147</v>
      </c>
      <c r="B63" s="144" t="s">
        <v>148</v>
      </c>
      <c r="C63" s="26" t="s">
        <v>98</v>
      </c>
      <c r="D63" s="83"/>
      <c r="E63" s="63"/>
      <c r="F63" s="83"/>
      <c r="G63" s="64"/>
      <c r="H63" s="85"/>
      <c r="I63" s="67"/>
      <c r="J63" s="71"/>
      <c r="K63" s="84">
        <f t="shared" si="5"/>
        <v>0</v>
      </c>
      <c r="L63" s="67">
        <f t="shared" si="6"/>
        <v>0</v>
      </c>
    </row>
    <row r="64" spans="1:12" hidden="1" outlineLevel="1" x14ac:dyDescent="0.35">
      <c r="A64" s="93" t="s">
        <v>149</v>
      </c>
      <c r="B64" s="144" t="s">
        <v>150</v>
      </c>
      <c r="C64" s="26" t="s">
        <v>98</v>
      </c>
      <c r="D64" s="83"/>
      <c r="E64" s="63"/>
      <c r="F64" s="83"/>
      <c r="G64" s="64"/>
      <c r="H64" s="85"/>
      <c r="I64" s="67"/>
      <c r="J64" s="71"/>
      <c r="K64" s="84">
        <f t="shared" si="5"/>
        <v>0</v>
      </c>
      <c r="L64" s="67">
        <f t="shared" si="6"/>
        <v>0</v>
      </c>
    </row>
    <row r="65" spans="1:12" collapsed="1" x14ac:dyDescent="0.35">
      <c r="A65" s="93"/>
      <c r="B65" s="144" t="s">
        <v>889</v>
      </c>
      <c r="C65" s="26"/>
      <c r="D65" s="84">
        <f>SUM(D66:D96)</f>
        <v>0</v>
      </c>
      <c r="E65" s="64">
        <f t="shared" ref="E65:I65" si="13">SUM(E66:E96)</f>
        <v>0</v>
      </c>
      <c r="F65" s="84">
        <f t="shared" si="13"/>
        <v>25103</v>
      </c>
      <c r="G65" s="64">
        <f t="shared" si="13"/>
        <v>43456</v>
      </c>
      <c r="H65" s="84">
        <f t="shared" si="13"/>
        <v>11872</v>
      </c>
      <c r="I65" s="64">
        <f t="shared" si="13"/>
        <v>0</v>
      </c>
      <c r="J65" s="71"/>
      <c r="K65" s="84">
        <f t="shared" si="5"/>
        <v>0</v>
      </c>
      <c r="L65" s="67">
        <f t="shared" si="6"/>
        <v>80431</v>
      </c>
    </row>
    <row r="66" spans="1:12" hidden="1" outlineLevel="1" x14ac:dyDescent="0.35">
      <c r="A66" s="93" t="s">
        <v>99</v>
      </c>
      <c r="B66" s="144" t="s">
        <v>100</v>
      </c>
      <c r="C66" s="26" t="s">
        <v>889</v>
      </c>
      <c r="D66" s="84"/>
      <c r="E66" s="63"/>
      <c r="F66" s="83"/>
      <c r="G66" s="64">
        <v>759000</v>
      </c>
      <c r="H66" s="85"/>
      <c r="I66" s="67"/>
      <c r="J66" s="71"/>
      <c r="K66" s="84">
        <f t="shared" si="5"/>
        <v>0</v>
      </c>
      <c r="L66" s="67">
        <f t="shared" si="6"/>
        <v>759000</v>
      </c>
    </row>
    <row r="67" spans="1:12" hidden="1" outlineLevel="1" x14ac:dyDescent="0.35">
      <c r="A67" s="93" t="s">
        <v>101</v>
      </c>
      <c r="B67" s="148" t="s">
        <v>102</v>
      </c>
      <c r="C67" s="26" t="s">
        <v>889</v>
      </c>
      <c r="D67" s="84"/>
      <c r="E67" s="63"/>
      <c r="F67" s="83"/>
      <c r="G67" s="64">
        <v>29</v>
      </c>
      <c r="H67" s="85"/>
      <c r="I67" s="67"/>
      <c r="J67" s="71"/>
      <c r="K67" s="84">
        <f t="shared" si="5"/>
        <v>0</v>
      </c>
      <c r="L67" s="67">
        <f t="shared" si="6"/>
        <v>29</v>
      </c>
    </row>
    <row r="68" spans="1:12" hidden="1" outlineLevel="1" x14ac:dyDescent="0.35">
      <c r="A68" s="93" t="s">
        <v>103</v>
      </c>
      <c r="B68" s="144" t="s">
        <v>104</v>
      </c>
      <c r="C68" s="26" t="s">
        <v>889</v>
      </c>
      <c r="D68" s="84"/>
      <c r="E68" s="63"/>
      <c r="F68" s="83"/>
      <c r="G68" s="64"/>
      <c r="H68" s="85"/>
      <c r="I68" s="67"/>
      <c r="J68" s="71"/>
      <c r="K68" s="84">
        <f t="shared" si="5"/>
        <v>0</v>
      </c>
      <c r="L68" s="67">
        <f t="shared" si="6"/>
        <v>0</v>
      </c>
    </row>
    <row r="69" spans="1:12" hidden="1" outlineLevel="1" x14ac:dyDescent="0.35">
      <c r="A69" s="93" t="s">
        <v>107</v>
      </c>
      <c r="B69" s="144" t="s">
        <v>108</v>
      </c>
      <c r="C69" s="26" t="s">
        <v>889</v>
      </c>
      <c r="D69" s="84"/>
      <c r="E69" s="63"/>
      <c r="F69" s="83"/>
      <c r="G69" s="64">
        <v>-759000</v>
      </c>
      <c r="H69" s="85"/>
      <c r="I69" s="67"/>
      <c r="J69" s="71"/>
      <c r="K69" s="84">
        <f t="shared" si="5"/>
        <v>0</v>
      </c>
      <c r="L69" s="67">
        <f t="shared" si="6"/>
        <v>-759000</v>
      </c>
    </row>
    <row r="70" spans="1:12" hidden="1" outlineLevel="1" x14ac:dyDescent="0.35">
      <c r="A70" s="93" t="s">
        <v>109</v>
      </c>
      <c r="B70" s="144" t="s">
        <v>110</v>
      </c>
      <c r="C70" s="26" t="s">
        <v>889</v>
      </c>
      <c r="D70" s="84"/>
      <c r="E70" s="63"/>
      <c r="F70" s="83"/>
      <c r="G70" s="64"/>
      <c r="H70" s="85"/>
      <c r="I70" s="67"/>
      <c r="J70" s="71"/>
      <c r="K70" s="84">
        <f t="shared" si="5"/>
        <v>0</v>
      </c>
      <c r="L70" s="67">
        <f t="shared" si="6"/>
        <v>0</v>
      </c>
    </row>
    <row r="71" spans="1:12" hidden="1" outlineLevel="1" x14ac:dyDescent="0.35">
      <c r="A71" s="93" t="s">
        <v>111</v>
      </c>
      <c r="B71" s="144" t="s">
        <v>110</v>
      </c>
      <c r="C71" s="26" t="s">
        <v>889</v>
      </c>
      <c r="D71" s="84"/>
      <c r="E71" s="63"/>
      <c r="F71" s="83"/>
      <c r="G71" s="64"/>
      <c r="H71" s="85"/>
      <c r="I71" s="67"/>
      <c r="J71" s="71"/>
      <c r="K71" s="84">
        <f t="shared" si="5"/>
        <v>0</v>
      </c>
      <c r="L71" s="67">
        <f t="shared" si="6"/>
        <v>0</v>
      </c>
    </row>
    <row r="72" spans="1:12" hidden="1" outlineLevel="1" x14ac:dyDescent="0.35">
      <c r="A72" s="93" t="s">
        <v>114</v>
      </c>
      <c r="B72" s="144" t="s">
        <v>115</v>
      </c>
      <c r="C72" s="26" t="s">
        <v>889</v>
      </c>
      <c r="D72" s="84"/>
      <c r="E72" s="63"/>
      <c r="F72" s="83"/>
      <c r="G72" s="64"/>
      <c r="H72" s="85"/>
      <c r="I72" s="67"/>
      <c r="J72" s="71"/>
      <c r="K72" s="84">
        <f t="shared" si="5"/>
        <v>0</v>
      </c>
      <c r="L72" s="67">
        <f t="shared" si="6"/>
        <v>0</v>
      </c>
    </row>
    <row r="73" spans="1:12" hidden="1" outlineLevel="1" x14ac:dyDescent="0.35">
      <c r="A73" s="93" t="s">
        <v>116</v>
      </c>
      <c r="B73" s="144" t="s">
        <v>117</v>
      </c>
      <c r="C73" s="26" t="s">
        <v>889</v>
      </c>
      <c r="D73" s="83"/>
      <c r="E73" s="63"/>
      <c r="F73" s="83"/>
      <c r="G73" s="64"/>
      <c r="H73" s="85"/>
      <c r="I73" s="67"/>
      <c r="J73" s="71"/>
      <c r="K73" s="84">
        <f t="shared" si="5"/>
        <v>0</v>
      </c>
      <c r="L73" s="67">
        <f t="shared" si="6"/>
        <v>0</v>
      </c>
    </row>
    <row r="74" spans="1:12" hidden="1" outlineLevel="1" x14ac:dyDescent="0.35">
      <c r="A74" s="93" t="s">
        <v>118</v>
      </c>
      <c r="B74" s="144" t="s">
        <v>119</v>
      </c>
      <c r="C74" s="26" t="s">
        <v>889</v>
      </c>
      <c r="D74" s="83"/>
      <c r="E74" s="63"/>
      <c r="F74" s="83"/>
      <c r="G74" s="64"/>
      <c r="H74" s="85"/>
      <c r="I74" s="67"/>
      <c r="J74" s="71"/>
      <c r="K74" s="84">
        <f t="shared" si="5"/>
        <v>0</v>
      </c>
      <c r="L74" s="67">
        <f t="shared" si="6"/>
        <v>0</v>
      </c>
    </row>
    <row r="75" spans="1:12" hidden="1" outlineLevel="1" x14ac:dyDescent="0.35">
      <c r="A75" s="93" t="s">
        <v>120</v>
      </c>
      <c r="B75" s="144" t="s">
        <v>121</v>
      </c>
      <c r="C75" s="26" t="s">
        <v>889</v>
      </c>
      <c r="D75" s="83"/>
      <c r="E75" s="63"/>
      <c r="F75" s="83"/>
      <c r="G75" s="64"/>
      <c r="H75" s="85"/>
      <c r="I75" s="67"/>
      <c r="J75" s="71"/>
      <c r="K75" s="84">
        <f t="shared" si="5"/>
        <v>0</v>
      </c>
      <c r="L75" s="67">
        <f t="shared" si="6"/>
        <v>0</v>
      </c>
    </row>
    <row r="76" spans="1:12" hidden="1" outlineLevel="1" x14ac:dyDescent="0.35">
      <c r="A76" s="93" t="s">
        <v>122</v>
      </c>
      <c r="B76" s="144" t="s">
        <v>123</v>
      </c>
      <c r="C76" s="26" t="s">
        <v>889</v>
      </c>
      <c r="D76" s="83"/>
      <c r="E76" s="63"/>
      <c r="F76" s="83"/>
      <c r="G76" s="64"/>
      <c r="H76" s="85"/>
      <c r="I76" s="67"/>
      <c r="J76" s="71"/>
      <c r="K76" s="84">
        <f t="shared" si="5"/>
        <v>0</v>
      </c>
      <c r="L76" s="67">
        <f t="shared" si="6"/>
        <v>0</v>
      </c>
    </row>
    <row r="77" spans="1:12" hidden="1" outlineLevel="1" x14ac:dyDescent="0.35">
      <c r="A77" s="93" t="s">
        <v>124</v>
      </c>
      <c r="B77" s="144" t="s">
        <v>125</v>
      </c>
      <c r="C77" s="26" t="s">
        <v>889</v>
      </c>
      <c r="D77" s="83"/>
      <c r="E77" s="63"/>
      <c r="F77" s="83"/>
      <c r="G77" s="64"/>
      <c r="H77" s="85"/>
      <c r="I77" s="67"/>
      <c r="J77" s="71"/>
      <c r="K77" s="84">
        <f t="shared" si="5"/>
        <v>0</v>
      </c>
      <c r="L77" s="67">
        <f t="shared" si="6"/>
        <v>0</v>
      </c>
    </row>
    <row r="78" spans="1:12" hidden="1" outlineLevel="1" x14ac:dyDescent="0.35">
      <c r="A78" s="93" t="s">
        <v>126</v>
      </c>
      <c r="B78" s="144" t="s">
        <v>127</v>
      </c>
      <c r="C78" s="26" t="s">
        <v>889</v>
      </c>
      <c r="D78" s="83"/>
      <c r="E78" s="63"/>
      <c r="F78" s="83"/>
      <c r="G78" s="64"/>
      <c r="H78" s="85"/>
      <c r="I78" s="67"/>
      <c r="J78" s="71"/>
      <c r="K78" s="84">
        <f t="shared" ref="K78:K141" si="14">J78+I78</f>
        <v>0</v>
      </c>
      <c r="L78" s="67">
        <f t="shared" ref="L78:L141" si="15">K78+D78+E78+F78+G78+H78</f>
        <v>0</v>
      </c>
    </row>
    <row r="79" spans="1:12" hidden="1" outlineLevel="1" x14ac:dyDescent="0.35">
      <c r="A79" s="93" t="s">
        <v>128</v>
      </c>
      <c r="B79" s="144" t="s">
        <v>129</v>
      </c>
      <c r="C79" s="26" t="s">
        <v>889</v>
      </c>
      <c r="D79" s="83"/>
      <c r="E79" s="63"/>
      <c r="F79" s="83"/>
      <c r="G79" s="64"/>
      <c r="H79" s="85"/>
      <c r="I79" s="67"/>
      <c r="J79" s="71"/>
      <c r="K79" s="84">
        <f t="shared" si="14"/>
        <v>0</v>
      </c>
      <c r="L79" s="67">
        <f t="shared" si="15"/>
        <v>0</v>
      </c>
    </row>
    <row r="80" spans="1:12" hidden="1" outlineLevel="1" x14ac:dyDescent="0.35">
      <c r="A80" s="93" t="s">
        <v>130</v>
      </c>
      <c r="B80" s="144" t="s">
        <v>131</v>
      </c>
      <c r="C80" s="26" t="s">
        <v>889</v>
      </c>
      <c r="D80" s="83"/>
      <c r="E80" s="63"/>
      <c r="F80" s="83"/>
      <c r="G80" s="64"/>
      <c r="H80" s="85"/>
      <c r="I80" s="67"/>
      <c r="J80" s="71"/>
      <c r="K80" s="84">
        <f t="shared" si="14"/>
        <v>0</v>
      </c>
      <c r="L80" s="67">
        <f t="shared" si="15"/>
        <v>0</v>
      </c>
    </row>
    <row r="81" spans="1:12" hidden="1" outlineLevel="1" x14ac:dyDescent="0.35">
      <c r="A81" s="93" t="s">
        <v>132</v>
      </c>
      <c r="B81" s="144" t="s">
        <v>133</v>
      </c>
      <c r="C81" s="26" t="s">
        <v>889</v>
      </c>
      <c r="D81" s="83"/>
      <c r="E81" s="63"/>
      <c r="F81" s="83"/>
      <c r="G81" s="64"/>
      <c r="H81" s="85"/>
      <c r="I81" s="67"/>
      <c r="J81" s="71"/>
      <c r="K81" s="84">
        <f t="shared" si="14"/>
        <v>0</v>
      </c>
      <c r="L81" s="67">
        <f t="shared" si="15"/>
        <v>0</v>
      </c>
    </row>
    <row r="82" spans="1:12" hidden="1" outlineLevel="1" x14ac:dyDescent="0.35">
      <c r="A82" s="93" t="s">
        <v>134</v>
      </c>
      <c r="B82" s="144" t="s">
        <v>135</v>
      </c>
      <c r="C82" s="26" t="s">
        <v>889</v>
      </c>
      <c r="D82" s="83"/>
      <c r="E82" s="63"/>
      <c r="F82" s="83"/>
      <c r="G82" s="64"/>
      <c r="H82" s="85"/>
      <c r="I82" s="67"/>
      <c r="J82" s="71"/>
      <c r="K82" s="84">
        <f t="shared" si="14"/>
        <v>0</v>
      </c>
      <c r="L82" s="67">
        <f t="shared" si="15"/>
        <v>0</v>
      </c>
    </row>
    <row r="83" spans="1:12" hidden="1" outlineLevel="1" x14ac:dyDescent="0.35">
      <c r="A83" s="93" t="s">
        <v>136</v>
      </c>
      <c r="B83" s="144" t="s">
        <v>137</v>
      </c>
      <c r="C83" s="26" t="s">
        <v>889</v>
      </c>
      <c r="D83" s="83"/>
      <c r="E83" s="63"/>
      <c r="F83" s="83">
        <v>9900</v>
      </c>
      <c r="G83" s="64"/>
      <c r="H83" s="85">
        <v>11872</v>
      </c>
      <c r="I83" s="67"/>
      <c r="J83" s="71"/>
      <c r="K83" s="84">
        <f t="shared" si="14"/>
        <v>0</v>
      </c>
      <c r="L83" s="67">
        <f t="shared" si="15"/>
        <v>21772</v>
      </c>
    </row>
    <row r="84" spans="1:12" hidden="1" outlineLevel="1" x14ac:dyDescent="0.35">
      <c r="A84" s="93" t="s">
        <v>138</v>
      </c>
      <c r="B84" s="144" t="s">
        <v>139</v>
      </c>
      <c r="C84" s="26" t="s">
        <v>889</v>
      </c>
      <c r="D84" s="83"/>
      <c r="E84" s="63"/>
      <c r="F84" s="83"/>
      <c r="G84" s="64"/>
      <c r="H84" s="85"/>
      <c r="I84" s="67"/>
      <c r="J84" s="71"/>
      <c r="K84" s="84">
        <f t="shared" si="14"/>
        <v>0</v>
      </c>
      <c r="L84" s="67">
        <f t="shared" si="15"/>
        <v>0</v>
      </c>
    </row>
    <row r="85" spans="1:12" hidden="1" outlineLevel="1" x14ac:dyDescent="0.35">
      <c r="A85" s="93" t="s">
        <v>140</v>
      </c>
      <c r="B85" s="144" t="s">
        <v>141</v>
      </c>
      <c r="C85" s="26" t="s">
        <v>889</v>
      </c>
      <c r="D85" s="83"/>
      <c r="E85" s="63"/>
      <c r="F85" s="83"/>
      <c r="G85" s="64"/>
      <c r="H85" s="85"/>
      <c r="I85" s="67"/>
      <c r="J85" s="71"/>
      <c r="K85" s="84">
        <f t="shared" si="14"/>
        <v>0</v>
      </c>
      <c r="L85" s="67">
        <f t="shared" si="15"/>
        <v>0</v>
      </c>
    </row>
    <row r="86" spans="1:12" hidden="1" outlineLevel="1" x14ac:dyDescent="0.35">
      <c r="A86" s="93" t="s">
        <v>142</v>
      </c>
      <c r="B86" s="144" t="s">
        <v>143</v>
      </c>
      <c r="C86" s="26" t="s">
        <v>889</v>
      </c>
      <c r="D86" s="83"/>
      <c r="E86" s="63"/>
      <c r="F86" s="83"/>
      <c r="G86" s="64">
        <v>-13500</v>
      </c>
      <c r="H86" s="85"/>
      <c r="I86" s="67"/>
      <c r="J86" s="71"/>
      <c r="K86" s="84">
        <f t="shared" si="14"/>
        <v>0</v>
      </c>
      <c r="L86" s="67">
        <f t="shared" si="15"/>
        <v>-13500</v>
      </c>
    </row>
    <row r="87" spans="1:12" hidden="1" outlineLevel="1" x14ac:dyDescent="0.35">
      <c r="A87" s="93" t="s">
        <v>144</v>
      </c>
      <c r="B87" s="144" t="s">
        <v>143</v>
      </c>
      <c r="C87" s="26" t="s">
        <v>889</v>
      </c>
      <c r="D87" s="83"/>
      <c r="E87" s="63"/>
      <c r="F87" s="83"/>
      <c r="G87" s="64"/>
      <c r="H87" s="85"/>
      <c r="I87" s="67"/>
      <c r="J87" s="71"/>
      <c r="K87" s="84">
        <f t="shared" si="14"/>
        <v>0</v>
      </c>
      <c r="L87" s="67">
        <f t="shared" si="15"/>
        <v>0</v>
      </c>
    </row>
    <row r="88" spans="1:12" hidden="1" outlineLevel="1" x14ac:dyDescent="0.35">
      <c r="A88" s="93" t="s">
        <v>145</v>
      </c>
      <c r="B88" s="144" t="s">
        <v>143</v>
      </c>
      <c r="C88" s="26" t="s">
        <v>889</v>
      </c>
      <c r="D88" s="83"/>
      <c r="E88" s="63"/>
      <c r="F88" s="83"/>
      <c r="G88" s="64"/>
      <c r="H88" s="85"/>
      <c r="I88" s="67"/>
      <c r="J88" s="71"/>
      <c r="K88" s="84">
        <f t="shared" si="14"/>
        <v>0</v>
      </c>
      <c r="L88" s="67">
        <f t="shared" si="15"/>
        <v>0</v>
      </c>
    </row>
    <row r="89" spans="1:12" hidden="1" outlineLevel="1" x14ac:dyDescent="0.35">
      <c r="A89" s="93" t="s">
        <v>146</v>
      </c>
      <c r="B89" s="144" t="s">
        <v>143</v>
      </c>
      <c r="C89" s="26" t="s">
        <v>889</v>
      </c>
      <c r="D89" s="83"/>
      <c r="E89" s="63"/>
      <c r="F89" s="83"/>
      <c r="G89" s="64"/>
      <c r="H89" s="85"/>
      <c r="I89" s="67"/>
      <c r="J89" s="71"/>
      <c r="K89" s="84">
        <f t="shared" si="14"/>
        <v>0</v>
      </c>
      <c r="L89" s="67">
        <f t="shared" si="15"/>
        <v>0</v>
      </c>
    </row>
    <row r="90" spans="1:12" hidden="1" outlineLevel="1" x14ac:dyDescent="0.35">
      <c r="A90" s="93" t="s">
        <v>151</v>
      </c>
      <c r="B90" s="144" t="s">
        <v>152</v>
      </c>
      <c r="C90" s="26" t="s">
        <v>889</v>
      </c>
      <c r="D90" s="83"/>
      <c r="E90" s="63"/>
      <c r="F90" s="83"/>
      <c r="G90" s="64"/>
      <c r="H90" s="85"/>
      <c r="I90" s="67"/>
      <c r="J90" s="71"/>
      <c r="K90" s="84">
        <f t="shared" si="14"/>
        <v>0</v>
      </c>
      <c r="L90" s="67">
        <f t="shared" si="15"/>
        <v>0</v>
      </c>
    </row>
    <row r="91" spans="1:12" hidden="1" outlineLevel="1" x14ac:dyDescent="0.35">
      <c r="A91" s="93" t="s">
        <v>153</v>
      </c>
      <c r="B91" s="144" t="s">
        <v>154</v>
      </c>
      <c r="C91" s="26" t="s">
        <v>889</v>
      </c>
      <c r="D91" s="83"/>
      <c r="E91" s="63"/>
      <c r="F91" s="83"/>
      <c r="G91" s="64">
        <v>3242</v>
      </c>
      <c r="H91" s="85"/>
      <c r="I91" s="67"/>
      <c r="J91" s="71"/>
      <c r="K91" s="84">
        <f t="shared" si="14"/>
        <v>0</v>
      </c>
      <c r="L91" s="67">
        <f t="shared" si="15"/>
        <v>3242</v>
      </c>
    </row>
    <row r="92" spans="1:12" hidden="1" outlineLevel="1" x14ac:dyDescent="0.35">
      <c r="A92" s="93" t="s">
        <v>155</v>
      </c>
      <c r="B92" s="144" t="s">
        <v>156</v>
      </c>
      <c r="C92" s="26" t="s">
        <v>889</v>
      </c>
      <c r="D92" s="83"/>
      <c r="E92" s="63"/>
      <c r="F92" s="83"/>
      <c r="G92" s="64"/>
      <c r="H92" s="85"/>
      <c r="I92" s="67"/>
      <c r="J92" s="71"/>
      <c r="K92" s="84">
        <f t="shared" si="14"/>
        <v>0</v>
      </c>
      <c r="L92" s="67">
        <f t="shared" si="15"/>
        <v>0</v>
      </c>
    </row>
    <row r="93" spans="1:12" hidden="1" outlineLevel="1" x14ac:dyDescent="0.35">
      <c r="A93" s="93" t="s">
        <v>157</v>
      </c>
      <c r="B93" s="144" t="s">
        <v>158</v>
      </c>
      <c r="C93" s="26" t="s">
        <v>889</v>
      </c>
      <c r="D93" s="83"/>
      <c r="E93" s="63"/>
      <c r="F93" s="83">
        <v>15203</v>
      </c>
      <c r="G93" s="64">
        <v>53685</v>
      </c>
      <c r="H93" s="85"/>
      <c r="I93" s="67"/>
      <c r="J93" s="71"/>
      <c r="K93" s="84">
        <f t="shared" si="14"/>
        <v>0</v>
      </c>
      <c r="L93" s="67">
        <f t="shared" si="15"/>
        <v>68888</v>
      </c>
    </row>
    <row r="94" spans="1:12" hidden="1" outlineLevel="1" x14ac:dyDescent="0.35">
      <c r="A94" s="93" t="s">
        <v>159</v>
      </c>
      <c r="B94" s="144" t="s">
        <v>160</v>
      </c>
      <c r="C94" s="26" t="s">
        <v>889</v>
      </c>
      <c r="D94" s="83"/>
      <c r="E94" s="63"/>
      <c r="F94" s="83"/>
      <c r="G94" s="64"/>
      <c r="H94" s="85"/>
      <c r="I94" s="67"/>
      <c r="J94" s="71"/>
      <c r="K94" s="84">
        <f t="shared" si="14"/>
        <v>0</v>
      </c>
      <c r="L94" s="67">
        <f t="shared" si="15"/>
        <v>0</v>
      </c>
    </row>
    <row r="95" spans="1:12" hidden="1" outlineLevel="1" x14ac:dyDescent="0.35">
      <c r="A95" s="93" t="s">
        <v>161</v>
      </c>
      <c r="B95" s="144" t="s">
        <v>162</v>
      </c>
      <c r="C95" s="26" t="s">
        <v>889</v>
      </c>
      <c r="D95" s="83"/>
      <c r="E95" s="63"/>
      <c r="F95" s="83"/>
      <c r="G95" s="64"/>
      <c r="H95" s="85"/>
      <c r="I95" s="67"/>
      <c r="J95" s="71"/>
      <c r="K95" s="84">
        <f t="shared" si="14"/>
        <v>0</v>
      </c>
      <c r="L95" s="67">
        <f t="shared" si="15"/>
        <v>0</v>
      </c>
    </row>
    <row r="96" spans="1:12" hidden="1" outlineLevel="1" x14ac:dyDescent="0.35">
      <c r="A96" s="93" t="s">
        <v>163</v>
      </c>
      <c r="B96" s="144" t="s">
        <v>164</v>
      </c>
      <c r="C96" s="26" t="s">
        <v>889</v>
      </c>
      <c r="D96" s="83"/>
      <c r="E96" s="63"/>
      <c r="F96" s="83"/>
      <c r="G96" s="64"/>
      <c r="H96" s="85"/>
      <c r="I96" s="67"/>
      <c r="J96" s="71"/>
      <c r="K96" s="84">
        <f t="shared" si="14"/>
        <v>0</v>
      </c>
      <c r="L96" s="67">
        <f t="shared" si="15"/>
        <v>0</v>
      </c>
    </row>
    <row r="97" spans="1:12" collapsed="1" x14ac:dyDescent="0.35">
      <c r="A97" s="93" t="s">
        <v>165</v>
      </c>
      <c r="B97" s="144" t="s">
        <v>166</v>
      </c>
      <c r="C97" s="26" t="s">
        <v>166</v>
      </c>
      <c r="D97" s="83"/>
      <c r="E97" s="63"/>
      <c r="F97" s="83"/>
      <c r="G97" s="64"/>
      <c r="H97" s="85"/>
      <c r="I97" s="67"/>
      <c r="J97" s="71"/>
      <c r="K97" s="84">
        <f t="shared" si="14"/>
        <v>0</v>
      </c>
      <c r="L97" s="67">
        <f t="shared" si="15"/>
        <v>0</v>
      </c>
    </row>
    <row r="98" spans="1:12" x14ac:dyDescent="0.35">
      <c r="A98" s="93" t="s">
        <v>167</v>
      </c>
      <c r="B98" s="144" t="s">
        <v>168</v>
      </c>
      <c r="C98" s="26" t="s">
        <v>168</v>
      </c>
      <c r="D98" s="83"/>
      <c r="E98" s="63"/>
      <c r="F98" s="83"/>
      <c r="G98" s="64"/>
      <c r="H98" s="85"/>
      <c r="I98" s="67"/>
      <c r="J98" s="71"/>
      <c r="K98" s="84">
        <f t="shared" si="14"/>
        <v>0</v>
      </c>
      <c r="L98" s="67">
        <f t="shared" si="15"/>
        <v>0</v>
      </c>
    </row>
    <row r="99" spans="1:12" x14ac:dyDescent="0.35">
      <c r="A99" s="93" t="s">
        <v>169</v>
      </c>
      <c r="B99" s="144" t="s">
        <v>170</v>
      </c>
      <c r="C99" s="26" t="s">
        <v>891</v>
      </c>
      <c r="D99" s="83"/>
      <c r="E99" s="63"/>
      <c r="F99" s="83"/>
      <c r="G99" s="64"/>
      <c r="H99" s="85"/>
      <c r="I99" s="67"/>
      <c r="J99" s="71"/>
      <c r="K99" s="84">
        <f t="shared" si="14"/>
        <v>0</v>
      </c>
      <c r="L99" s="67">
        <f t="shared" si="15"/>
        <v>0</v>
      </c>
    </row>
    <row r="100" spans="1:12" x14ac:dyDescent="0.35">
      <c r="A100" s="93" t="s">
        <v>171</v>
      </c>
      <c r="B100" s="144" t="s">
        <v>172</v>
      </c>
      <c r="C100" s="26" t="s">
        <v>892</v>
      </c>
      <c r="D100" s="83"/>
      <c r="E100" s="63"/>
      <c r="F100" s="83"/>
      <c r="G100" s="64"/>
      <c r="H100" s="85"/>
      <c r="I100" s="67"/>
      <c r="J100" s="71"/>
      <c r="K100" s="84">
        <f t="shared" si="14"/>
        <v>0</v>
      </c>
      <c r="L100" s="67">
        <f t="shared" si="15"/>
        <v>0</v>
      </c>
    </row>
    <row r="101" spans="1:12" x14ac:dyDescent="0.35">
      <c r="A101" s="93" t="s">
        <v>173</v>
      </c>
      <c r="B101" s="144" t="s">
        <v>174</v>
      </c>
      <c r="C101" s="26" t="s">
        <v>174</v>
      </c>
      <c r="D101" s="83"/>
      <c r="E101" s="63"/>
      <c r="F101" s="83"/>
      <c r="G101" s="64"/>
      <c r="H101" s="85"/>
      <c r="I101" s="67"/>
      <c r="J101" s="71"/>
      <c r="K101" s="84">
        <f t="shared" si="14"/>
        <v>0</v>
      </c>
      <c r="L101" s="67">
        <f t="shared" si="15"/>
        <v>0</v>
      </c>
    </row>
    <row r="102" spans="1:12" ht="15" collapsed="1" thickBot="1" x14ac:dyDescent="0.4">
      <c r="A102" s="93"/>
      <c r="B102" s="144" t="s">
        <v>893</v>
      </c>
      <c r="C102" s="26"/>
      <c r="D102" s="83">
        <f>SUM(D103:D121)</f>
        <v>0</v>
      </c>
      <c r="E102" s="63">
        <f t="shared" ref="E102:I102" si="16">SUM(E103:E121)</f>
        <v>1928636</v>
      </c>
      <c r="F102" s="83">
        <f t="shared" si="16"/>
        <v>4646442</v>
      </c>
      <c r="G102" s="63">
        <f t="shared" si="16"/>
        <v>5882949</v>
      </c>
      <c r="H102" s="83">
        <f>SUM(H103:H121)</f>
        <v>4583790</v>
      </c>
      <c r="I102" s="63">
        <f t="shared" si="16"/>
        <v>685166</v>
      </c>
      <c r="J102" s="71"/>
      <c r="K102" s="84">
        <f t="shared" si="14"/>
        <v>685166</v>
      </c>
      <c r="L102" s="67">
        <f t="shared" si="15"/>
        <v>17726983</v>
      </c>
    </row>
    <row r="103" spans="1:12" hidden="1" outlineLevel="1" x14ac:dyDescent="0.35">
      <c r="A103" s="93" t="s">
        <v>175</v>
      </c>
      <c r="B103" s="144" t="s">
        <v>176</v>
      </c>
      <c r="C103" s="26" t="s">
        <v>893</v>
      </c>
      <c r="D103" s="83"/>
      <c r="E103" s="63">
        <v>2000</v>
      </c>
      <c r="F103" s="83">
        <v>2095</v>
      </c>
      <c r="G103" s="64"/>
      <c r="H103" s="85">
        <v>6749</v>
      </c>
      <c r="I103" s="67"/>
      <c r="J103" s="71"/>
      <c r="K103" s="84">
        <f t="shared" si="14"/>
        <v>0</v>
      </c>
      <c r="L103" s="67">
        <f t="shared" si="15"/>
        <v>10844</v>
      </c>
    </row>
    <row r="104" spans="1:12" hidden="1" outlineLevel="1" x14ac:dyDescent="0.35">
      <c r="A104" s="93" t="s">
        <v>177</v>
      </c>
      <c r="B104" s="144" t="s">
        <v>178</v>
      </c>
      <c r="C104" s="26" t="s">
        <v>893</v>
      </c>
      <c r="D104" s="83"/>
      <c r="E104" s="63"/>
      <c r="F104" s="83">
        <v>500</v>
      </c>
      <c r="G104" s="64"/>
      <c r="H104" s="85"/>
      <c r="I104" s="67"/>
      <c r="J104" s="71"/>
      <c r="K104" s="84">
        <f t="shared" si="14"/>
        <v>0</v>
      </c>
      <c r="L104" s="67">
        <f t="shared" si="15"/>
        <v>500</v>
      </c>
    </row>
    <row r="105" spans="1:12" hidden="1" outlineLevel="1" x14ac:dyDescent="0.35">
      <c r="A105" s="93" t="s">
        <v>179</v>
      </c>
      <c r="B105" s="144" t="s">
        <v>180</v>
      </c>
      <c r="C105" s="26" t="s">
        <v>893</v>
      </c>
      <c r="D105" s="83"/>
      <c r="E105" s="63"/>
      <c r="F105" s="83">
        <v>100</v>
      </c>
      <c r="G105" s="64"/>
      <c r="H105" s="85"/>
      <c r="I105" s="67"/>
      <c r="J105" s="71"/>
      <c r="K105" s="84">
        <f t="shared" si="14"/>
        <v>0</v>
      </c>
      <c r="L105" s="67">
        <f t="shared" si="15"/>
        <v>100</v>
      </c>
    </row>
    <row r="106" spans="1:12" hidden="1" outlineLevel="1" x14ac:dyDescent="0.35">
      <c r="A106" s="93" t="s">
        <v>181</v>
      </c>
      <c r="B106" s="144" t="s">
        <v>182</v>
      </c>
      <c r="C106" s="26" t="s">
        <v>893</v>
      </c>
      <c r="D106" s="83"/>
      <c r="E106" s="63"/>
      <c r="F106" s="83" t="s">
        <v>1283</v>
      </c>
      <c r="G106" s="64"/>
      <c r="H106" s="85"/>
      <c r="I106" s="67"/>
      <c r="J106" s="71"/>
      <c r="K106" s="84">
        <f t="shared" si="14"/>
        <v>0</v>
      </c>
      <c r="L106" s="67" t="e">
        <f t="shared" si="15"/>
        <v>#VALUE!</v>
      </c>
    </row>
    <row r="107" spans="1:12" hidden="1" outlineLevel="1" x14ac:dyDescent="0.35">
      <c r="A107" s="93" t="s">
        <v>183</v>
      </c>
      <c r="B107" s="144" t="s">
        <v>184</v>
      </c>
      <c r="C107" s="26" t="s">
        <v>893</v>
      </c>
      <c r="D107" s="83"/>
      <c r="E107" s="63"/>
      <c r="F107" s="83"/>
      <c r="G107" s="64"/>
      <c r="H107" s="85"/>
      <c r="I107" s="67"/>
      <c r="J107" s="71"/>
      <c r="K107" s="84">
        <f t="shared" si="14"/>
        <v>0</v>
      </c>
      <c r="L107" s="67">
        <f t="shared" si="15"/>
        <v>0</v>
      </c>
    </row>
    <row r="108" spans="1:12" hidden="1" outlineLevel="1" x14ac:dyDescent="0.35">
      <c r="A108" s="99" t="s">
        <v>185</v>
      </c>
      <c r="B108" s="144" t="s">
        <v>186</v>
      </c>
      <c r="C108" s="26" t="s">
        <v>893</v>
      </c>
      <c r="D108" s="83"/>
      <c r="E108" s="63"/>
      <c r="F108" s="83"/>
      <c r="G108" s="64"/>
      <c r="H108" s="85"/>
      <c r="I108" s="67"/>
      <c r="J108" s="71"/>
      <c r="K108" s="84">
        <f t="shared" si="14"/>
        <v>0</v>
      </c>
      <c r="L108" s="67">
        <f t="shared" si="15"/>
        <v>0</v>
      </c>
    </row>
    <row r="109" spans="1:12" hidden="1" outlineLevel="1" x14ac:dyDescent="0.35">
      <c r="A109" s="99" t="s">
        <v>187</v>
      </c>
      <c r="B109" s="144" t="s">
        <v>188</v>
      </c>
      <c r="C109" s="26" t="s">
        <v>893</v>
      </c>
      <c r="D109" s="83"/>
      <c r="E109" s="63"/>
      <c r="F109" s="83"/>
      <c r="G109" s="64"/>
      <c r="H109" s="85"/>
      <c r="I109" s="67"/>
      <c r="J109" s="71"/>
      <c r="K109" s="84">
        <f t="shared" si="14"/>
        <v>0</v>
      </c>
      <c r="L109" s="67">
        <f t="shared" si="15"/>
        <v>0</v>
      </c>
    </row>
    <row r="110" spans="1:12" hidden="1" outlineLevel="1" x14ac:dyDescent="0.35">
      <c r="A110" s="93" t="s">
        <v>189</v>
      </c>
      <c r="B110" s="144" t="s">
        <v>190</v>
      </c>
      <c r="C110" s="26" t="s">
        <v>893</v>
      </c>
      <c r="D110" s="83"/>
      <c r="E110" s="63"/>
      <c r="F110" s="83"/>
      <c r="G110" s="64"/>
      <c r="H110" s="85"/>
      <c r="I110" s="67"/>
      <c r="J110" s="71"/>
      <c r="K110" s="84">
        <f t="shared" si="14"/>
        <v>0</v>
      </c>
      <c r="L110" s="67">
        <f t="shared" si="15"/>
        <v>0</v>
      </c>
    </row>
    <row r="111" spans="1:12" hidden="1" outlineLevel="1" x14ac:dyDescent="0.35">
      <c r="A111" s="93" t="s">
        <v>191</v>
      </c>
      <c r="B111" s="144" t="s">
        <v>192</v>
      </c>
      <c r="C111" s="26" t="s">
        <v>893</v>
      </c>
      <c r="D111" s="83"/>
      <c r="E111" s="63">
        <v>84761</v>
      </c>
      <c r="F111" s="83">
        <v>1922012</v>
      </c>
      <c r="G111" s="64">
        <v>3196282</v>
      </c>
      <c r="H111" s="85">
        <v>1497272</v>
      </c>
      <c r="I111" s="67">
        <v>565579</v>
      </c>
      <c r="J111" s="71"/>
      <c r="K111" s="84">
        <f t="shared" si="14"/>
        <v>565579</v>
      </c>
      <c r="L111" s="67">
        <f t="shared" si="15"/>
        <v>7265906</v>
      </c>
    </row>
    <row r="112" spans="1:12" hidden="1" outlineLevel="1" x14ac:dyDescent="0.35">
      <c r="A112" s="93" t="s">
        <v>193</v>
      </c>
      <c r="B112" s="144" t="s">
        <v>194</v>
      </c>
      <c r="C112" s="26" t="s">
        <v>893</v>
      </c>
      <c r="D112" s="83"/>
      <c r="E112" s="63">
        <v>1786460</v>
      </c>
      <c r="F112" s="83">
        <v>3469</v>
      </c>
      <c r="G112" s="64">
        <v>2609230</v>
      </c>
      <c r="H112" s="85">
        <v>1544997</v>
      </c>
      <c r="I112" s="67">
        <v>100047</v>
      </c>
      <c r="J112" s="71"/>
      <c r="K112" s="84">
        <f t="shared" si="14"/>
        <v>100047</v>
      </c>
      <c r="L112" s="67">
        <f t="shared" si="15"/>
        <v>6044203</v>
      </c>
    </row>
    <row r="113" spans="1:12" hidden="1" outlineLevel="1" x14ac:dyDescent="0.35">
      <c r="A113" s="93" t="s">
        <v>195</v>
      </c>
      <c r="B113" s="144" t="s">
        <v>196</v>
      </c>
      <c r="C113" s="26" t="s">
        <v>893</v>
      </c>
      <c r="D113" s="83"/>
      <c r="E113" s="63">
        <v>6604</v>
      </c>
      <c r="F113" s="83">
        <v>149</v>
      </c>
      <c r="G113" s="64">
        <v>28965</v>
      </c>
      <c r="H113" s="85">
        <v>1500000</v>
      </c>
      <c r="I113" s="67"/>
      <c r="J113" s="71"/>
      <c r="K113" s="84">
        <f t="shared" si="14"/>
        <v>0</v>
      </c>
      <c r="L113" s="67">
        <f t="shared" si="15"/>
        <v>1535718</v>
      </c>
    </row>
    <row r="114" spans="1:12" hidden="1" outlineLevel="1" x14ac:dyDescent="0.35">
      <c r="A114" s="93" t="s">
        <v>197</v>
      </c>
      <c r="B114" s="144" t="s">
        <v>198</v>
      </c>
      <c r="C114" s="26" t="s">
        <v>893</v>
      </c>
      <c r="D114" s="83"/>
      <c r="E114" s="63">
        <v>48811</v>
      </c>
      <c r="F114" s="83">
        <v>2557990</v>
      </c>
      <c r="G114" s="64">
        <v>9145</v>
      </c>
      <c r="H114" s="85"/>
      <c r="I114" s="67"/>
      <c r="J114" s="71"/>
      <c r="K114" s="84">
        <f t="shared" si="14"/>
        <v>0</v>
      </c>
      <c r="L114" s="67">
        <f t="shared" si="15"/>
        <v>2615946</v>
      </c>
    </row>
    <row r="115" spans="1:12" hidden="1" outlineLevel="1" x14ac:dyDescent="0.35">
      <c r="A115" s="93" t="s">
        <v>199</v>
      </c>
      <c r="B115" s="144" t="s">
        <v>200</v>
      </c>
      <c r="C115" s="26" t="s">
        <v>893</v>
      </c>
      <c r="D115" s="83"/>
      <c r="E115" s="63"/>
      <c r="F115" s="83">
        <v>75</v>
      </c>
      <c r="G115" s="64">
        <v>11424</v>
      </c>
      <c r="H115" s="85"/>
      <c r="I115" s="67"/>
      <c r="J115" s="71"/>
      <c r="K115" s="84">
        <f t="shared" si="14"/>
        <v>0</v>
      </c>
      <c r="L115" s="67">
        <f t="shared" si="15"/>
        <v>11499</v>
      </c>
    </row>
    <row r="116" spans="1:12" hidden="1" outlineLevel="1" x14ac:dyDescent="0.35">
      <c r="A116" s="93" t="s">
        <v>201</v>
      </c>
      <c r="B116" s="144" t="s">
        <v>202</v>
      </c>
      <c r="C116" s="26" t="s">
        <v>893</v>
      </c>
      <c r="D116" s="83"/>
      <c r="E116" s="63"/>
      <c r="F116" s="83"/>
      <c r="G116" s="64"/>
      <c r="H116" s="85"/>
      <c r="I116" s="67"/>
      <c r="J116" s="71"/>
      <c r="K116" s="84">
        <f t="shared" si="14"/>
        <v>0</v>
      </c>
      <c r="L116" s="67">
        <f t="shared" si="15"/>
        <v>0</v>
      </c>
    </row>
    <row r="117" spans="1:12" hidden="1" outlineLevel="1" x14ac:dyDescent="0.35">
      <c r="A117" s="93" t="s">
        <v>203</v>
      </c>
      <c r="B117" s="144" t="s">
        <v>204</v>
      </c>
      <c r="C117" s="26" t="s">
        <v>893</v>
      </c>
      <c r="D117" s="83"/>
      <c r="E117" s="63"/>
      <c r="F117" s="83"/>
      <c r="G117" s="64"/>
      <c r="H117" s="85"/>
      <c r="I117" s="67"/>
      <c r="J117" s="71"/>
      <c r="K117" s="84">
        <f t="shared" si="14"/>
        <v>0</v>
      </c>
      <c r="L117" s="67">
        <f t="shared" si="15"/>
        <v>0</v>
      </c>
    </row>
    <row r="118" spans="1:12" hidden="1" outlineLevel="1" x14ac:dyDescent="0.35">
      <c r="A118" s="93" t="s">
        <v>205</v>
      </c>
      <c r="B118" s="144" t="s">
        <v>206</v>
      </c>
      <c r="C118" s="26" t="s">
        <v>893</v>
      </c>
      <c r="D118" s="83"/>
      <c r="E118" s="63"/>
      <c r="F118" s="83"/>
      <c r="G118" s="64"/>
      <c r="H118" s="85"/>
      <c r="I118" s="67"/>
      <c r="J118" s="71"/>
      <c r="K118" s="84">
        <f t="shared" si="14"/>
        <v>0</v>
      </c>
      <c r="L118" s="67">
        <f t="shared" si="15"/>
        <v>0</v>
      </c>
    </row>
    <row r="119" spans="1:12" hidden="1" outlineLevel="1" x14ac:dyDescent="0.35">
      <c r="A119" s="93" t="s">
        <v>207</v>
      </c>
      <c r="B119" s="144" t="s">
        <v>208</v>
      </c>
      <c r="C119" s="26" t="s">
        <v>893</v>
      </c>
      <c r="D119" s="83"/>
      <c r="E119" s="63"/>
      <c r="F119" s="83"/>
      <c r="G119" s="64"/>
      <c r="H119" s="85"/>
      <c r="I119" s="67"/>
      <c r="J119" s="71"/>
      <c r="K119" s="84">
        <f t="shared" si="14"/>
        <v>0</v>
      </c>
      <c r="L119" s="67">
        <f t="shared" si="15"/>
        <v>0</v>
      </c>
    </row>
    <row r="120" spans="1:12" hidden="1" outlineLevel="1" x14ac:dyDescent="0.35">
      <c r="A120" s="93" t="s">
        <v>209</v>
      </c>
      <c r="B120" s="144" t="s">
        <v>210</v>
      </c>
      <c r="C120" s="26" t="s">
        <v>893</v>
      </c>
      <c r="D120" s="83"/>
      <c r="E120" s="63"/>
      <c r="F120" s="83">
        <v>160052</v>
      </c>
      <c r="G120" s="64">
        <v>27903</v>
      </c>
      <c r="H120" s="85">
        <v>34772</v>
      </c>
      <c r="I120" s="67">
        <v>19540</v>
      </c>
      <c r="J120" s="71"/>
      <c r="K120" s="84">
        <f t="shared" si="14"/>
        <v>19540</v>
      </c>
      <c r="L120" s="67">
        <f t="shared" si="15"/>
        <v>242267</v>
      </c>
    </row>
    <row r="121" spans="1:12" ht="15" hidden="1" outlineLevel="1" thickBot="1" x14ac:dyDescent="0.4">
      <c r="A121" s="93" t="s">
        <v>211</v>
      </c>
      <c r="B121" s="144" t="s">
        <v>212</v>
      </c>
      <c r="C121" s="26" t="s">
        <v>893</v>
      </c>
      <c r="D121" s="83"/>
      <c r="E121" s="63"/>
      <c r="F121" s="83"/>
      <c r="G121" s="64"/>
      <c r="H121" s="85"/>
      <c r="I121" s="67"/>
      <c r="J121" s="71"/>
      <c r="K121" s="84">
        <f t="shared" si="14"/>
        <v>0</v>
      </c>
      <c r="L121" s="67">
        <f t="shared" si="15"/>
        <v>0</v>
      </c>
    </row>
    <row r="122" spans="1:12" ht="15" collapsed="1" thickBot="1" x14ac:dyDescent="0.4">
      <c r="A122" s="100"/>
      <c r="B122" s="108" t="s">
        <v>1284</v>
      </c>
      <c r="C122" s="34"/>
      <c r="D122" s="86">
        <f t="shared" ref="D122:E122" si="17">SUM(D4:D102)</f>
        <v>0</v>
      </c>
      <c r="E122" s="51">
        <f t="shared" si="17"/>
        <v>6213636</v>
      </c>
      <c r="F122" s="86">
        <f>F14+F32+F52+F59+F65+F102</f>
        <v>5783853</v>
      </c>
      <c r="G122" s="86">
        <f>G14+G32+G52+G59+G65+G102</f>
        <v>7117786</v>
      </c>
      <c r="H122" s="86">
        <f>H14+H32+H52+H59+H65+H102</f>
        <v>6010196</v>
      </c>
      <c r="I122" s="86">
        <f>I14+I32+I52+I59+I65+I102</f>
        <v>1115518</v>
      </c>
      <c r="J122" s="86">
        <f t="shared" ref="J122" si="18">J14+J32+J52+J59+J65+J102</f>
        <v>0</v>
      </c>
      <c r="K122" s="142">
        <f t="shared" si="14"/>
        <v>1115518</v>
      </c>
      <c r="L122" s="113">
        <f t="shared" si="15"/>
        <v>26240989</v>
      </c>
    </row>
    <row r="123" spans="1:12" x14ac:dyDescent="0.35">
      <c r="A123" s="101"/>
      <c r="B123" s="149"/>
      <c r="C123" s="35"/>
      <c r="D123" s="87"/>
      <c r="E123" s="73"/>
      <c r="F123" s="87"/>
      <c r="G123" s="73"/>
      <c r="H123" s="87"/>
      <c r="I123" s="67"/>
      <c r="J123" s="71"/>
      <c r="K123" s="84">
        <f t="shared" si="14"/>
        <v>0</v>
      </c>
      <c r="L123" s="67">
        <f t="shared" si="15"/>
        <v>0</v>
      </c>
    </row>
    <row r="124" spans="1:12" x14ac:dyDescent="0.35">
      <c r="A124" s="93" t="s">
        <v>213</v>
      </c>
      <c r="B124" s="144" t="s">
        <v>0</v>
      </c>
      <c r="C124" s="26" t="s">
        <v>894</v>
      </c>
      <c r="D124" s="83"/>
      <c r="E124" s="63">
        <v>5803862</v>
      </c>
      <c r="F124" s="83"/>
      <c r="G124" s="64">
        <v>2523469</v>
      </c>
      <c r="H124" s="85"/>
      <c r="I124" s="67"/>
      <c r="J124" s="71"/>
      <c r="K124" s="84">
        <f t="shared" si="14"/>
        <v>0</v>
      </c>
      <c r="L124" s="67">
        <f t="shared" si="15"/>
        <v>8327331</v>
      </c>
    </row>
    <row r="125" spans="1:12" x14ac:dyDescent="0.35">
      <c r="A125" s="93" t="s">
        <v>214</v>
      </c>
      <c r="B125" s="144" t="s">
        <v>215</v>
      </c>
      <c r="C125" s="26" t="s">
        <v>215</v>
      </c>
      <c r="D125" s="83"/>
      <c r="E125" s="63"/>
      <c r="F125" s="83"/>
      <c r="G125" s="64"/>
      <c r="H125" s="85"/>
      <c r="I125" s="67"/>
      <c r="J125" s="71"/>
      <c r="K125" s="84">
        <f t="shared" si="14"/>
        <v>0</v>
      </c>
      <c r="L125" s="67">
        <f t="shared" si="15"/>
        <v>0</v>
      </c>
    </row>
    <row r="126" spans="1:12" x14ac:dyDescent="0.35">
      <c r="A126" s="93" t="s">
        <v>216</v>
      </c>
      <c r="B126" s="144" t="s">
        <v>217</v>
      </c>
      <c r="C126" s="26" t="s">
        <v>217</v>
      </c>
      <c r="D126" s="83"/>
      <c r="E126" s="63"/>
      <c r="F126" s="83"/>
      <c r="G126" s="64"/>
      <c r="H126" s="85"/>
      <c r="I126" s="67"/>
      <c r="J126" s="71"/>
      <c r="K126" s="84">
        <f t="shared" si="14"/>
        <v>0</v>
      </c>
      <c r="L126" s="67">
        <f t="shared" si="15"/>
        <v>0</v>
      </c>
    </row>
    <row r="127" spans="1:12" collapsed="1" x14ac:dyDescent="0.35">
      <c r="A127" s="93"/>
      <c r="B127" s="144" t="s">
        <v>896</v>
      </c>
      <c r="C127" s="26"/>
      <c r="D127" s="83">
        <f>SUM(D128:D129)</f>
        <v>0</v>
      </c>
      <c r="E127" s="63">
        <f t="shared" ref="E127:H127" si="19">SUM(E128:E129)</f>
        <v>0</v>
      </c>
      <c r="F127" s="83">
        <f t="shared" si="19"/>
        <v>3857068</v>
      </c>
      <c r="G127" s="63">
        <f t="shared" si="19"/>
        <v>3715786</v>
      </c>
      <c r="H127" s="83">
        <f t="shared" si="19"/>
        <v>3537685</v>
      </c>
      <c r="I127" s="67">
        <f>I128</f>
        <v>922419</v>
      </c>
      <c r="J127" s="71"/>
      <c r="K127" s="84">
        <f t="shared" si="14"/>
        <v>922419</v>
      </c>
      <c r="L127" s="67">
        <f t="shared" si="15"/>
        <v>12032958</v>
      </c>
    </row>
    <row r="128" spans="1:12" hidden="1" outlineLevel="1" x14ac:dyDescent="0.35">
      <c r="A128" s="93" t="s">
        <v>218</v>
      </c>
      <c r="B128" s="146" t="s">
        <v>895</v>
      </c>
      <c r="C128" s="26" t="s">
        <v>896</v>
      </c>
      <c r="D128" s="83"/>
      <c r="E128" s="63"/>
      <c r="F128" s="83">
        <v>3857068</v>
      </c>
      <c r="G128" s="64">
        <v>3715786</v>
      </c>
      <c r="H128" s="85">
        <v>3537685</v>
      </c>
      <c r="I128" s="67">
        <v>922419</v>
      </c>
      <c r="J128" s="71"/>
      <c r="K128" s="84">
        <f t="shared" si="14"/>
        <v>922419</v>
      </c>
      <c r="L128" s="67">
        <f t="shared" si="15"/>
        <v>12032958</v>
      </c>
    </row>
    <row r="129" spans="1:12" hidden="1" outlineLevel="1" x14ac:dyDescent="0.35">
      <c r="A129" s="93" t="s">
        <v>219</v>
      </c>
      <c r="B129" s="144" t="s">
        <v>220</v>
      </c>
      <c r="C129" s="26" t="s">
        <v>896</v>
      </c>
      <c r="D129" s="83"/>
      <c r="E129" s="63"/>
      <c r="F129" s="83"/>
      <c r="G129" s="64"/>
      <c r="H129" s="85"/>
      <c r="I129" s="67"/>
      <c r="J129" s="71"/>
      <c r="K129" s="84">
        <f t="shared" si="14"/>
        <v>0</v>
      </c>
      <c r="L129" s="67">
        <f t="shared" si="15"/>
        <v>0</v>
      </c>
    </row>
    <row r="130" spans="1:12" x14ac:dyDescent="0.35">
      <c r="A130" s="93" t="s">
        <v>221</v>
      </c>
      <c r="B130" s="144" t="s">
        <v>222</v>
      </c>
      <c r="C130" s="26" t="s">
        <v>222</v>
      </c>
      <c r="D130" s="83"/>
      <c r="E130" s="63"/>
      <c r="F130" s="83"/>
      <c r="G130" s="64"/>
      <c r="H130" s="85"/>
      <c r="I130" s="67"/>
      <c r="J130" s="71"/>
      <c r="K130" s="84">
        <f t="shared" si="14"/>
        <v>0</v>
      </c>
      <c r="L130" s="67">
        <f t="shared" si="15"/>
        <v>0</v>
      </c>
    </row>
    <row r="131" spans="1:12" x14ac:dyDescent="0.35">
      <c r="A131" s="93" t="s">
        <v>223</v>
      </c>
      <c r="B131" s="144" t="s">
        <v>224</v>
      </c>
      <c r="C131" s="26" t="s">
        <v>224</v>
      </c>
      <c r="D131" s="83"/>
      <c r="E131" s="63"/>
      <c r="F131" s="83"/>
      <c r="G131" s="64"/>
      <c r="H131" s="85"/>
      <c r="I131" s="67"/>
      <c r="J131" s="71"/>
      <c r="K131" s="84">
        <f t="shared" si="14"/>
        <v>0</v>
      </c>
      <c r="L131" s="67">
        <f t="shared" si="15"/>
        <v>0</v>
      </c>
    </row>
    <row r="132" spans="1:12" x14ac:dyDescent="0.35">
      <c r="A132" s="93" t="s">
        <v>225</v>
      </c>
      <c r="B132" s="144" t="s">
        <v>226</v>
      </c>
      <c r="C132" s="26" t="s">
        <v>226</v>
      </c>
      <c r="D132" s="83"/>
      <c r="E132" s="63"/>
      <c r="F132" s="83"/>
      <c r="G132" s="64"/>
      <c r="H132" s="85"/>
      <c r="I132" s="67"/>
      <c r="J132" s="71"/>
      <c r="K132" s="84">
        <f t="shared" si="14"/>
        <v>0</v>
      </c>
      <c r="L132" s="67">
        <f t="shared" si="15"/>
        <v>0</v>
      </c>
    </row>
    <row r="133" spans="1:12" collapsed="1" x14ac:dyDescent="0.35">
      <c r="A133" s="93"/>
      <c r="B133" s="144" t="s">
        <v>897</v>
      </c>
      <c r="C133" s="26"/>
      <c r="D133" s="83">
        <f>SUM(D134:D135)</f>
        <v>0</v>
      </c>
      <c r="E133" s="63">
        <f t="shared" ref="E133:I133" si="20">SUM(E134:E135)</f>
        <v>0</v>
      </c>
      <c r="F133" s="83">
        <f t="shared" si="20"/>
        <v>0</v>
      </c>
      <c r="G133" s="63">
        <f t="shared" si="20"/>
        <v>0</v>
      </c>
      <c r="H133" s="83">
        <f t="shared" si="20"/>
        <v>0</v>
      </c>
      <c r="I133" s="63">
        <f t="shared" si="20"/>
        <v>0</v>
      </c>
      <c r="J133" s="71"/>
      <c r="K133" s="84">
        <f t="shared" si="14"/>
        <v>0</v>
      </c>
      <c r="L133" s="67">
        <f t="shared" si="15"/>
        <v>0</v>
      </c>
    </row>
    <row r="134" spans="1:12" hidden="1" outlineLevel="1" x14ac:dyDescent="0.35">
      <c r="A134" s="93" t="s">
        <v>227</v>
      </c>
      <c r="B134" s="144" t="s">
        <v>228</v>
      </c>
      <c r="C134" s="26" t="s">
        <v>897</v>
      </c>
      <c r="D134" s="83"/>
      <c r="E134" s="63"/>
      <c r="F134" s="83"/>
      <c r="G134" s="64"/>
      <c r="H134" s="85"/>
      <c r="I134" s="67"/>
      <c r="J134" s="71"/>
      <c r="K134" s="84">
        <f t="shared" si="14"/>
        <v>0</v>
      </c>
      <c r="L134" s="67">
        <f t="shared" si="15"/>
        <v>0</v>
      </c>
    </row>
    <row r="135" spans="1:12" hidden="1" outlineLevel="1" x14ac:dyDescent="0.35">
      <c r="A135" s="93" t="s">
        <v>229</v>
      </c>
      <c r="B135" s="144" t="s">
        <v>230</v>
      </c>
      <c r="C135" s="26" t="s">
        <v>897</v>
      </c>
      <c r="D135" s="83"/>
      <c r="E135" s="63"/>
      <c r="F135" s="83"/>
      <c r="G135" s="64"/>
      <c r="H135" s="85"/>
      <c r="I135" s="67"/>
      <c r="J135" s="71"/>
      <c r="K135" s="84">
        <f t="shared" si="14"/>
        <v>0</v>
      </c>
      <c r="L135" s="67">
        <f t="shared" si="15"/>
        <v>0</v>
      </c>
    </row>
    <row r="136" spans="1:12" collapsed="1" x14ac:dyDescent="0.35">
      <c r="A136" s="93"/>
      <c r="B136" s="144" t="s">
        <v>898</v>
      </c>
      <c r="C136" s="26"/>
      <c r="D136" s="83">
        <f>SUM(D137:D142)</f>
        <v>0</v>
      </c>
      <c r="E136" s="63">
        <f t="shared" ref="E136:I136" si="21">SUM(E137:E142)</f>
        <v>0</v>
      </c>
      <c r="F136" s="83">
        <f t="shared" si="21"/>
        <v>0</v>
      </c>
      <c r="G136" s="63">
        <f t="shared" si="21"/>
        <v>0</v>
      </c>
      <c r="H136" s="83">
        <f>SUM(H137:H142)</f>
        <v>0</v>
      </c>
      <c r="I136" s="63">
        <f t="shared" si="21"/>
        <v>0</v>
      </c>
      <c r="J136" s="71"/>
      <c r="K136" s="84">
        <f t="shared" si="14"/>
        <v>0</v>
      </c>
      <c r="L136" s="67">
        <f t="shared" si="15"/>
        <v>0</v>
      </c>
    </row>
    <row r="137" spans="1:12" hidden="1" outlineLevel="1" x14ac:dyDescent="0.35">
      <c r="A137" s="93" t="s">
        <v>231</v>
      </c>
      <c r="B137" s="144" t="s">
        <v>232</v>
      </c>
      <c r="C137" s="26" t="s">
        <v>898</v>
      </c>
      <c r="D137" s="83"/>
      <c r="E137" s="63"/>
      <c r="F137" s="83"/>
      <c r="G137" s="64"/>
      <c r="H137" s="85"/>
      <c r="I137" s="67"/>
      <c r="J137" s="71"/>
      <c r="K137" s="84">
        <f t="shared" si="14"/>
        <v>0</v>
      </c>
      <c r="L137" s="67">
        <f t="shared" si="15"/>
        <v>0</v>
      </c>
    </row>
    <row r="138" spans="1:12" hidden="1" outlineLevel="1" x14ac:dyDescent="0.35">
      <c r="A138" s="93" t="s">
        <v>233</v>
      </c>
      <c r="B138" s="144" t="s">
        <v>234</v>
      </c>
      <c r="C138" s="26" t="s">
        <v>898</v>
      </c>
      <c r="D138" s="83"/>
      <c r="E138" s="63"/>
      <c r="F138" s="83"/>
      <c r="G138" s="64"/>
      <c r="H138" s="85"/>
      <c r="I138" s="67"/>
      <c r="J138" s="71"/>
      <c r="K138" s="84">
        <f t="shared" si="14"/>
        <v>0</v>
      </c>
      <c r="L138" s="67">
        <f t="shared" si="15"/>
        <v>0</v>
      </c>
    </row>
    <row r="139" spans="1:12" hidden="1" outlineLevel="1" x14ac:dyDescent="0.35">
      <c r="A139" s="93" t="s">
        <v>235</v>
      </c>
      <c r="B139" s="144" t="s">
        <v>236</v>
      </c>
      <c r="C139" s="26" t="s">
        <v>898</v>
      </c>
      <c r="D139" s="83"/>
      <c r="E139" s="63"/>
      <c r="F139" s="83"/>
      <c r="G139" s="64"/>
      <c r="H139" s="85"/>
      <c r="I139" s="67"/>
      <c r="J139" s="71"/>
      <c r="K139" s="84">
        <f t="shared" si="14"/>
        <v>0</v>
      </c>
      <c r="L139" s="67">
        <f t="shared" si="15"/>
        <v>0</v>
      </c>
    </row>
    <row r="140" spans="1:12" hidden="1" outlineLevel="1" x14ac:dyDescent="0.35">
      <c r="A140" s="93" t="s">
        <v>237</v>
      </c>
      <c r="B140" s="144" t="s">
        <v>238</v>
      </c>
      <c r="C140" s="26" t="s">
        <v>898</v>
      </c>
      <c r="D140" s="83"/>
      <c r="E140" s="63"/>
      <c r="F140" s="83"/>
      <c r="G140" s="64"/>
      <c r="H140" s="85"/>
      <c r="I140" s="67"/>
      <c r="J140" s="71"/>
      <c r="K140" s="84">
        <f t="shared" si="14"/>
        <v>0</v>
      </c>
      <c r="L140" s="67">
        <f t="shared" si="15"/>
        <v>0</v>
      </c>
    </row>
    <row r="141" spans="1:12" hidden="1" outlineLevel="1" x14ac:dyDescent="0.35">
      <c r="A141" s="93" t="s">
        <v>239</v>
      </c>
      <c r="B141" s="144" t="s">
        <v>240</v>
      </c>
      <c r="C141" s="26" t="s">
        <v>898</v>
      </c>
      <c r="D141" s="83"/>
      <c r="E141" s="63"/>
      <c r="F141" s="83"/>
      <c r="G141" s="64"/>
      <c r="H141" s="85"/>
      <c r="I141" s="67"/>
      <c r="J141" s="71"/>
      <c r="K141" s="84">
        <f t="shared" si="14"/>
        <v>0</v>
      </c>
      <c r="L141" s="67">
        <f t="shared" si="15"/>
        <v>0</v>
      </c>
    </row>
    <row r="142" spans="1:12" hidden="1" outlineLevel="1" x14ac:dyDescent="0.35">
      <c r="A142" s="93" t="s">
        <v>241</v>
      </c>
      <c r="B142" s="144" t="s">
        <v>242</v>
      </c>
      <c r="C142" s="26" t="s">
        <v>898</v>
      </c>
      <c r="D142" s="83"/>
      <c r="E142" s="63"/>
      <c r="F142" s="83"/>
      <c r="G142" s="64"/>
      <c r="H142" s="85"/>
      <c r="I142" s="67"/>
      <c r="J142" s="71"/>
      <c r="K142" s="84">
        <f t="shared" ref="K142:K205" si="22">J142+I142</f>
        <v>0</v>
      </c>
      <c r="L142" s="67">
        <f t="shared" ref="L142:L205" si="23">K142+D142+E142+F142+G142+H142</f>
        <v>0</v>
      </c>
    </row>
    <row r="143" spans="1:12" collapsed="1" x14ac:dyDescent="0.35">
      <c r="A143" s="93"/>
      <c r="B143" s="144" t="s">
        <v>897</v>
      </c>
      <c r="C143" s="26"/>
      <c r="D143" s="83">
        <f>SUM(D144:D145)</f>
        <v>0</v>
      </c>
      <c r="E143" s="63">
        <f t="shared" ref="E143:I143" si="24">SUM(E144:E145)</f>
        <v>0</v>
      </c>
      <c r="F143" s="83">
        <f t="shared" si="24"/>
        <v>0</v>
      </c>
      <c r="G143" s="63">
        <f t="shared" si="24"/>
        <v>0</v>
      </c>
      <c r="H143" s="83">
        <f>SUM(H144:H145)</f>
        <v>0</v>
      </c>
      <c r="I143" s="63">
        <f t="shared" si="24"/>
        <v>0</v>
      </c>
      <c r="J143" s="71"/>
      <c r="K143" s="84">
        <f t="shared" si="22"/>
        <v>0</v>
      </c>
      <c r="L143" s="67">
        <f t="shared" si="23"/>
        <v>0</v>
      </c>
    </row>
    <row r="144" spans="1:12" hidden="1" outlineLevel="1" x14ac:dyDescent="0.35">
      <c r="A144" s="93" t="s">
        <v>243</v>
      </c>
      <c r="B144" s="144" t="s">
        <v>244</v>
      </c>
      <c r="C144" s="26" t="s">
        <v>897</v>
      </c>
      <c r="D144" s="83"/>
      <c r="E144" s="63"/>
      <c r="F144" s="83"/>
      <c r="G144" s="64"/>
      <c r="H144" s="85"/>
      <c r="I144" s="67"/>
      <c r="J144" s="71"/>
      <c r="K144" s="84">
        <f t="shared" si="22"/>
        <v>0</v>
      </c>
      <c r="L144" s="67">
        <f t="shared" si="23"/>
        <v>0</v>
      </c>
    </row>
    <row r="145" spans="1:12" hidden="1" outlineLevel="1" x14ac:dyDescent="0.35">
      <c r="A145" s="93" t="s">
        <v>245</v>
      </c>
      <c r="B145" s="144" t="s">
        <v>246</v>
      </c>
      <c r="C145" s="26" t="s">
        <v>897</v>
      </c>
      <c r="D145" s="83"/>
      <c r="E145" s="63"/>
      <c r="F145" s="83"/>
      <c r="G145" s="64"/>
      <c r="H145" s="85"/>
      <c r="I145" s="67"/>
      <c r="J145" s="71"/>
      <c r="K145" s="84">
        <f t="shared" si="22"/>
        <v>0</v>
      </c>
      <c r="L145" s="67">
        <f t="shared" si="23"/>
        <v>0</v>
      </c>
    </row>
    <row r="146" spans="1:12" collapsed="1" x14ac:dyDescent="0.35">
      <c r="A146" s="93" t="s">
        <v>247</v>
      </c>
      <c r="B146" s="144" t="s">
        <v>248</v>
      </c>
      <c r="C146" s="26" t="s">
        <v>248</v>
      </c>
      <c r="D146" s="83"/>
      <c r="E146" s="63"/>
      <c r="F146" s="83">
        <v>146661</v>
      </c>
      <c r="G146" s="64">
        <v>69632</v>
      </c>
      <c r="H146" s="85">
        <v>82505</v>
      </c>
      <c r="I146" s="67">
        <v>14179</v>
      </c>
      <c r="J146" s="71"/>
      <c r="K146" s="84">
        <f t="shared" si="22"/>
        <v>14179</v>
      </c>
      <c r="L146" s="67">
        <f t="shared" si="23"/>
        <v>312977</v>
      </c>
    </row>
    <row r="147" spans="1:12" collapsed="1" x14ac:dyDescent="0.35">
      <c r="A147" s="93"/>
      <c r="B147" s="144" t="s">
        <v>868</v>
      </c>
      <c r="C147" s="26"/>
      <c r="D147" s="83">
        <f>SUM(D148:D150)</f>
        <v>0</v>
      </c>
      <c r="E147" s="63">
        <f t="shared" ref="E147:I147" si="25">SUM(E148:E150)</f>
        <v>0</v>
      </c>
      <c r="F147" s="83">
        <f t="shared" si="25"/>
        <v>0</v>
      </c>
      <c r="G147" s="63">
        <f t="shared" si="25"/>
        <v>0</v>
      </c>
      <c r="H147" s="83">
        <f>SUM(H148:H150)</f>
        <v>0</v>
      </c>
      <c r="I147" s="63">
        <f t="shared" si="25"/>
        <v>0</v>
      </c>
      <c r="J147" s="71"/>
      <c r="K147" s="84">
        <f t="shared" si="22"/>
        <v>0</v>
      </c>
      <c r="L147" s="67">
        <f t="shared" si="23"/>
        <v>0</v>
      </c>
    </row>
    <row r="148" spans="1:12" hidden="1" outlineLevel="1" x14ac:dyDescent="0.35">
      <c r="A148" s="93" t="s">
        <v>249</v>
      </c>
      <c r="B148" s="144" t="s">
        <v>250</v>
      </c>
      <c r="C148" s="26" t="s">
        <v>868</v>
      </c>
      <c r="D148" s="83"/>
      <c r="E148" s="63"/>
      <c r="F148" s="83"/>
      <c r="G148" s="64"/>
      <c r="H148" s="83"/>
      <c r="I148" s="67"/>
      <c r="J148" s="71"/>
      <c r="K148" s="84">
        <f t="shared" si="22"/>
        <v>0</v>
      </c>
      <c r="L148" s="67">
        <f t="shared" si="23"/>
        <v>0</v>
      </c>
    </row>
    <row r="149" spans="1:12" hidden="1" outlineLevel="1" x14ac:dyDescent="0.35">
      <c r="A149" s="93" t="s">
        <v>251</v>
      </c>
      <c r="B149" s="144" t="s">
        <v>252</v>
      </c>
      <c r="C149" s="26" t="s">
        <v>868</v>
      </c>
      <c r="D149" s="83"/>
      <c r="E149" s="63"/>
      <c r="F149" s="83"/>
      <c r="G149" s="64"/>
      <c r="H149" s="83"/>
      <c r="I149" s="67"/>
      <c r="J149" s="71"/>
      <c r="K149" s="84">
        <f t="shared" si="22"/>
        <v>0</v>
      </c>
      <c r="L149" s="67">
        <f t="shared" si="23"/>
        <v>0</v>
      </c>
    </row>
    <row r="150" spans="1:12" hidden="1" outlineLevel="1" x14ac:dyDescent="0.35">
      <c r="A150" s="93" t="s">
        <v>253</v>
      </c>
      <c r="B150" s="144" t="s">
        <v>254</v>
      </c>
      <c r="C150" s="26" t="s">
        <v>868</v>
      </c>
      <c r="D150" s="83"/>
      <c r="E150" s="63"/>
      <c r="F150" s="83"/>
      <c r="G150" s="64"/>
      <c r="H150" s="83"/>
      <c r="I150" s="67"/>
      <c r="J150" s="71"/>
      <c r="K150" s="84">
        <f t="shared" si="22"/>
        <v>0</v>
      </c>
      <c r="L150" s="67">
        <f t="shared" si="23"/>
        <v>0</v>
      </c>
    </row>
    <row r="151" spans="1:12" collapsed="1" x14ac:dyDescent="0.35">
      <c r="A151" s="93"/>
      <c r="B151" s="144" t="s">
        <v>899</v>
      </c>
      <c r="C151" s="26"/>
      <c r="D151" s="83">
        <f>SUM(D152:D171)</f>
        <v>0</v>
      </c>
      <c r="E151" s="63">
        <f t="shared" ref="E151:I151" si="26">SUM(E152:E171)</f>
        <v>0</v>
      </c>
      <c r="F151" s="83">
        <f t="shared" si="26"/>
        <v>65616</v>
      </c>
      <c r="G151" s="63">
        <f t="shared" si="26"/>
        <v>-29413</v>
      </c>
      <c r="H151" s="83">
        <f>SUM(H152:H171)</f>
        <v>70878</v>
      </c>
      <c r="I151" s="83">
        <f t="shared" si="26"/>
        <v>42688</v>
      </c>
      <c r="J151" s="71"/>
      <c r="K151" s="84">
        <f t="shared" si="22"/>
        <v>42688</v>
      </c>
      <c r="L151" s="67">
        <f t="shared" si="23"/>
        <v>149769</v>
      </c>
    </row>
    <row r="152" spans="1:12" hidden="1" outlineLevel="1" x14ac:dyDescent="0.35">
      <c r="A152" s="93" t="s">
        <v>255</v>
      </c>
      <c r="B152" s="144" t="s">
        <v>256</v>
      </c>
      <c r="C152" s="26" t="s">
        <v>899</v>
      </c>
      <c r="D152" s="83"/>
      <c r="E152" s="63"/>
      <c r="F152" s="83">
        <v>59812</v>
      </c>
      <c r="G152" s="64">
        <v>27903</v>
      </c>
      <c r="H152" s="83">
        <v>32336</v>
      </c>
      <c r="I152" s="67">
        <v>19540</v>
      </c>
      <c r="J152" s="71"/>
      <c r="K152" s="84">
        <f t="shared" si="22"/>
        <v>19540</v>
      </c>
      <c r="L152" s="67">
        <f t="shared" si="23"/>
        <v>139591</v>
      </c>
    </row>
    <row r="153" spans="1:12" hidden="1" outlineLevel="1" x14ac:dyDescent="0.35">
      <c r="A153" s="93" t="s">
        <v>257</v>
      </c>
      <c r="B153" s="144" t="s">
        <v>900</v>
      </c>
      <c r="C153" s="26" t="s">
        <v>899</v>
      </c>
      <c r="D153" s="83"/>
      <c r="E153" s="63"/>
      <c r="F153" s="83"/>
      <c r="G153" s="64"/>
      <c r="H153" s="83"/>
      <c r="I153" s="67"/>
      <c r="J153" s="71"/>
      <c r="K153" s="84">
        <f t="shared" si="22"/>
        <v>0</v>
      </c>
      <c r="L153" s="67">
        <f t="shared" si="23"/>
        <v>0</v>
      </c>
    </row>
    <row r="154" spans="1:12" hidden="1" outlineLevel="1" x14ac:dyDescent="0.35">
      <c r="A154" s="93" t="s">
        <v>259</v>
      </c>
      <c r="B154" s="144" t="s">
        <v>260</v>
      </c>
      <c r="C154" s="26" t="s">
        <v>899</v>
      </c>
      <c r="D154" s="83"/>
      <c r="E154" s="63"/>
      <c r="F154" s="83"/>
      <c r="G154" s="64"/>
      <c r="H154" s="83"/>
      <c r="I154" s="67"/>
      <c r="J154" s="71"/>
      <c r="K154" s="84">
        <f t="shared" si="22"/>
        <v>0</v>
      </c>
      <c r="L154" s="67">
        <f t="shared" si="23"/>
        <v>0</v>
      </c>
    </row>
    <row r="155" spans="1:12" hidden="1" outlineLevel="1" x14ac:dyDescent="0.35">
      <c r="A155" s="93" t="s">
        <v>261</v>
      </c>
      <c r="B155" s="144" t="s">
        <v>262</v>
      </c>
      <c r="C155" s="26" t="s">
        <v>899</v>
      </c>
      <c r="D155" s="83"/>
      <c r="E155" s="63"/>
      <c r="F155" s="83"/>
      <c r="G155" s="64"/>
      <c r="H155" s="83"/>
      <c r="I155" s="67"/>
      <c r="J155" s="71"/>
      <c r="K155" s="84">
        <f t="shared" si="22"/>
        <v>0</v>
      </c>
      <c r="L155" s="67">
        <f t="shared" si="23"/>
        <v>0</v>
      </c>
    </row>
    <row r="156" spans="1:12" hidden="1" outlineLevel="1" x14ac:dyDescent="0.35">
      <c r="A156" s="93" t="s">
        <v>263</v>
      </c>
      <c r="B156" s="144" t="s">
        <v>264</v>
      </c>
      <c r="C156" s="26" t="s">
        <v>899</v>
      </c>
      <c r="D156" s="83"/>
      <c r="E156" s="63"/>
      <c r="F156" s="83"/>
      <c r="G156" s="64"/>
      <c r="H156" s="83"/>
      <c r="I156" s="67"/>
      <c r="J156" s="71"/>
      <c r="K156" s="84">
        <f t="shared" si="22"/>
        <v>0</v>
      </c>
      <c r="L156" s="67">
        <f t="shared" si="23"/>
        <v>0</v>
      </c>
    </row>
    <row r="157" spans="1:12" hidden="1" outlineLevel="1" x14ac:dyDescent="0.35">
      <c r="A157" s="93" t="s">
        <v>265</v>
      </c>
      <c r="B157" s="144" t="s">
        <v>266</v>
      </c>
      <c r="C157" s="26" t="s">
        <v>899</v>
      </c>
      <c r="D157" s="83"/>
      <c r="E157" s="63"/>
      <c r="F157" s="83"/>
      <c r="G157" s="64"/>
      <c r="H157" s="83"/>
      <c r="I157" s="67"/>
      <c r="J157" s="71"/>
      <c r="K157" s="84">
        <f t="shared" si="22"/>
        <v>0</v>
      </c>
      <c r="L157" s="67">
        <f t="shared" si="23"/>
        <v>0</v>
      </c>
    </row>
    <row r="158" spans="1:12" hidden="1" outlineLevel="1" x14ac:dyDescent="0.35">
      <c r="A158" s="93" t="s">
        <v>267</v>
      </c>
      <c r="B158" s="144" t="s">
        <v>268</v>
      </c>
      <c r="C158" s="26" t="s">
        <v>899</v>
      </c>
      <c r="D158" s="83"/>
      <c r="E158" s="63"/>
      <c r="F158" s="83"/>
      <c r="G158" s="64"/>
      <c r="H158" s="83"/>
      <c r="I158" s="67"/>
      <c r="J158" s="71"/>
      <c r="K158" s="84">
        <f t="shared" si="22"/>
        <v>0</v>
      </c>
      <c r="L158" s="67">
        <f t="shared" si="23"/>
        <v>0</v>
      </c>
    </row>
    <row r="159" spans="1:12" hidden="1" outlineLevel="1" x14ac:dyDescent="0.35">
      <c r="A159" s="93" t="s">
        <v>269</v>
      </c>
      <c r="B159" s="144" t="s">
        <v>270</v>
      </c>
      <c r="C159" s="26" t="s">
        <v>899</v>
      </c>
      <c r="D159" s="83"/>
      <c r="E159" s="63"/>
      <c r="F159" s="83">
        <v>48619</v>
      </c>
      <c r="G159" s="64"/>
      <c r="H159" s="83"/>
      <c r="I159" s="67"/>
      <c r="J159" s="71"/>
      <c r="K159" s="84">
        <f t="shared" si="22"/>
        <v>0</v>
      </c>
      <c r="L159" s="67">
        <f t="shared" si="23"/>
        <v>48619</v>
      </c>
    </row>
    <row r="160" spans="1:12" hidden="1" outlineLevel="1" x14ac:dyDescent="0.35">
      <c r="A160" s="93" t="s">
        <v>271</v>
      </c>
      <c r="B160" s="144" t="s">
        <v>272</v>
      </c>
      <c r="C160" s="26" t="s">
        <v>899</v>
      </c>
      <c r="D160" s="83"/>
      <c r="E160" s="63"/>
      <c r="F160" s="83"/>
      <c r="G160" s="64"/>
      <c r="H160" s="83"/>
      <c r="I160" s="67"/>
      <c r="J160" s="71"/>
      <c r="K160" s="84">
        <f t="shared" si="22"/>
        <v>0</v>
      </c>
      <c r="L160" s="67">
        <f t="shared" si="23"/>
        <v>0</v>
      </c>
    </row>
    <row r="161" spans="1:12" hidden="1" outlineLevel="1" x14ac:dyDescent="0.35">
      <c r="A161" s="93" t="s">
        <v>273</v>
      </c>
      <c r="B161" s="144" t="s">
        <v>274</v>
      </c>
      <c r="C161" s="26" t="s">
        <v>899</v>
      </c>
      <c r="D161" s="83"/>
      <c r="E161" s="63"/>
      <c r="F161" s="83"/>
      <c r="G161" s="64"/>
      <c r="H161" s="83"/>
      <c r="I161" s="67"/>
      <c r="J161" s="71"/>
      <c r="K161" s="84">
        <f t="shared" si="22"/>
        <v>0</v>
      </c>
      <c r="L161" s="67">
        <f t="shared" si="23"/>
        <v>0</v>
      </c>
    </row>
    <row r="162" spans="1:12" hidden="1" outlineLevel="1" x14ac:dyDescent="0.35">
      <c r="A162" s="93" t="s">
        <v>275</v>
      </c>
      <c r="B162" s="144" t="s">
        <v>276</v>
      </c>
      <c r="C162" s="26" t="s">
        <v>899</v>
      </c>
      <c r="D162" s="83"/>
      <c r="E162" s="63"/>
      <c r="F162" s="83">
        <v>16997</v>
      </c>
      <c r="G162" s="64"/>
      <c r="H162" s="83"/>
      <c r="I162" s="67"/>
      <c r="J162" s="71"/>
      <c r="K162" s="84">
        <f t="shared" si="22"/>
        <v>0</v>
      </c>
      <c r="L162" s="67">
        <f t="shared" si="23"/>
        <v>16997</v>
      </c>
    </row>
    <row r="163" spans="1:12" hidden="1" outlineLevel="1" x14ac:dyDescent="0.35">
      <c r="A163" s="93" t="s">
        <v>277</v>
      </c>
      <c r="B163" s="144" t="s">
        <v>278</v>
      </c>
      <c r="C163" s="26" t="s">
        <v>899</v>
      </c>
      <c r="D163" s="83"/>
      <c r="E163" s="63"/>
      <c r="F163" s="83">
        <v>-120977</v>
      </c>
      <c r="G163" s="64"/>
      <c r="H163" s="83"/>
      <c r="I163" s="67"/>
      <c r="J163" s="71"/>
      <c r="K163" s="84">
        <f t="shared" si="22"/>
        <v>0</v>
      </c>
      <c r="L163" s="67">
        <f t="shared" si="23"/>
        <v>-120977</v>
      </c>
    </row>
    <row r="164" spans="1:12" hidden="1" outlineLevel="1" x14ac:dyDescent="0.35">
      <c r="A164" s="93" t="s">
        <v>279</v>
      </c>
      <c r="B164" s="144" t="s">
        <v>280</v>
      </c>
      <c r="C164" s="26" t="s">
        <v>899</v>
      </c>
      <c r="D164" s="83"/>
      <c r="E164" s="63"/>
      <c r="F164" s="83"/>
      <c r="G164" s="64"/>
      <c r="H164" s="83"/>
      <c r="I164" s="67"/>
      <c r="J164" s="71"/>
      <c r="K164" s="84">
        <f t="shared" si="22"/>
        <v>0</v>
      </c>
      <c r="L164" s="67">
        <f t="shared" si="23"/>
        <v>0</v>
      </c>
    </row>
    <row r="165" spans="1:12" hidden="1" outlineLevel="1" x14ac:dyDescent="0.35">
      <c r="A165" s="93" t="s">
        <v>281</v>
      </c>
      <c r="B165" s="144" t="s">
        <v>282</v>
      </c>
      <c r="C165" s="26" t="s">
        <v>899</v>
      </c>
      <c r="D165" s="83"/>
      <c r="E165" s="63"/>
      <c r="F165" s="83"/>
      <c r="G165" s="64"/>
      <c r="H165" s="83"/>
      <c r="I165" s="67"/>
      <c r="J165" s="71"/>
      <c r="K165" s="84">
        <f t="shared" si="22"/>
        <v>0</v>
      </c>
      <c r="L165" s="67">
        <f t="shared" si="23"/>
        <v>0</v>
      </c>
    </row>
    <row r="166" spans="1:12" hidden="1" outlineLevel="1" x14ac:dyDescent="0.35">
      <c r="A166" s="93" t="s">
        <v>283</v>
      </c>
      <c r="B166" s="144" t="s">
        <v>284</v>
      </c>
      <c r="C166" s="26" t="s">
        <v>899</v>
      </c>
      <c r="D166" s="83"/>
      <c r="E166" s="63"/>
      <c r="F166" s="83">
        <v>-2374</v>
      </c>
      <c r="G166" s="64"/>
      <c r="H166" s="83"/>
      <c r="I166" s="67"/>
      <c r="J166" s="71"/>
      <c r="K166" s="84">
        <f t="shared" si="22"/>
        <v>0</v>
      </c>
      <c r="L166" s="67">
        <f t="shared" si="23"/>
        <v>-2374</v>
      </c>
    </row>
    <row r="167" spans="1:12" hidden="1" outlineLevel="1" x14ac:dyDescent="0.35">
      <c r="A167" s="93" t="s">
        <v>285</v>
      </c>
      <c r="B167" s="144" t="s">
        <v>286</v>
      </c>
      <c r="C167" s="26" t="s">
        <v>899</v>
      </c>
      <c r="D167" s="83"/>
      <c r="E167" s="63"/>
      <c r="F167" s="83"/>
      <c r="G167" s="64">
        <v>-92246</v>
      </c>
      <c r="H167" s="83"/>
      <c r="I167" s="67"/>
      <c r="J167" s="71"/>
      <c r="K167" s="84">
        <f t="shared" si="22"/>
        <v>0</v>
      </c>
      <c r="L167" s="67">
        <f t="shared" si="23"/>
        <v>-92246</v>
      </c>
    </row>
    <row r="168" spans="1:12" hidden="1" outlineLevel="1" x14ac:dyDescent="0.35">
      <c r="A168" s="93" t="s">
        <v>287</v>
      </c>
      <c r="B168" s="144" t="s">
        <v>288</v>
      </c>
      <c r="C168" s="26" t="s">
        <v>899</v>
      </c>
      <c r="D168" s="83"/>
      <c r="E168" s="63"/>
      <c r="F168" s="83">
        <v>38367</v>
      </c>
      <c r="G168" s="64">
        <v>20808</v>
      </c>
      <c r="H168" s="83">
        <v>17851</v>
      </c>
      <c r="I168" s="67">
        <v>15219</v>
      </c>
      <c r="J168" s="71"/>
      <c r="K168" s="84">
        <f t="shared" si="22"/>
        <v>15219</v>
      </c>
      <c r="L168" s="67">
        <f t="shared" si="23"/>
        <v>92245</v>
      </c>
    </row>
    <row r="169" spans="1:12" hidden="1" outlineLevel="1" x14ac:dyDescent="0.35">
      <c r="A169" s="93" t="s">
        <v>289</v>
      </c>
      <c r="B169" s="144" t="s">
        <v>290</v>
      </c>
      <c r="C169" s="26" t="s">
        <v>899</v>
      </c>
      <c r="D169" s="83"/>
      <c r="E169" s="63"/>
      <c r="F169" s="83"/>
      <c r="G169" s="64"/>
      <c r="H169" s="83"/>
      <c r="I169" s="67"/>
      <c r="J169" s="71"/>
      <c r="K169" s="84">
        <f t="shared" si="22"/>
        <v>0</v>
      </c>
      <c r="L169" s="67">
        <f t="shared" si="23"/>
        <v>0</v>
      </c>
    </row>
    <row r="170" spans="1:12" hidden="1" outlineLevel="1" x14ac:dyDescent="0.35">
      <c r="A170" s="93" t="s">
        <v>291</v>
      </c>
      <c r="B170" s="144" t="s">
        <v>292</v>
      </c>
      <c r="C170" s="26" t="s">
        <v>899</v>
      </c>
      <c r="D170" s="83"/>
      <c r="E170" s="63"/>
      <c r="F170" s="83">
        <v>25172</v>
      </c>
      <c r="G170" s="64">
        <v>14122</v>
      </c>
      <c r="H170" s="83">
        <v>20691</v>
      </c>
      <c r="I170" s="67">
        <v>7929</v>
      </c>
      <c r="J170" s="71"/>
      <c r="K170" s="84">
        <f t="shared" si="22"/>
        <v>7929</v>
      </c>
      <c r="L170" s="67">
        <f t="shared" si="23"/>
        <v>67914</v>
      </c>
    </row>
    <row r="171" spans="1:12" hidden="1" outlineLevel="1" x14ac:dyDescent="0.35">
      <c r="A171" s="93" t="s">
        <v>293</v>
      </c>
      <c r="B171" s="144" t="s">
        <v>294</v>
      </c>
      <c r="C171" s="26" t="s">
        <v>899</v>
      </c>
      <c r="D171" s="83"/>
      <c r="E171" s="63"/>
      <c r="F171" s="83"/>
      <c r="G171" s="64"/>
      <c r="H171" s="83"/>
      <c r="I171" s="67"/>
      <c r="J171" s="71"/>
      <c r="K171" s="84">
        <f t="shared" si="22"/>
        <v>0</v>
      </c>
      <c r="L171" s="67">
        <f t="shared" si="23"/>
        <v>0</v>
      </c>
    </row>
    <row r="172" spans="1:12" ht="15" collapsed="1" thickBot="1" x14ac:dyDescent="0.4">
      <c r="A172" s="93"/>
      <c r="B172" s="144" t="s">
        <v>325</v>
      </c>
      <c r="C172" s="26"/>
      <c r="D172" s="83">
        <f>SUM(D173:D190)</f>
        <v>0</v>
      </c>
      <c r="E172" s="63">
        <f t="shared" ref="E172:G172" si="27">SUM(E173:E190)</f>
        <v>409775</v>
      </c>
      <c r="F172" s="83">
        <f t="shared" si="27"/>
        <v>1714509</v>
      </c>
      <c r="G172" s="63">
        <f t="shared" si="27"/>
        <v>838312</v>
      </c>
      <c r="H172" s="83">
        <f>SUM(H173:H190)</f>
        <v>2319128</v>
      </c>
      <c r="I172" s="83">
        <f>SUM(I173:I190)</f>
        <v>136232</v>
      </c>
      <c r="J172" s="71"/>
      <c r="K172" s="84">
        <f t="shared" si="22"/>
        <v>136232</v>
      </c>
      <c r="L172" s="67">
        <f t="shared" si="23"/>
        <v>5417956</v>
      </c>
    </row>
    <row r="173" spans="1:12" hidden="1" outlineLevel="1" x14ac:dyDescent="0.35">
      <c r="A173" s="93" t="s">
        <v>295</v>
      </c>
      <c r="B173" s="144" t="s">
        <v>296</v>
      </c>
      <c r="C173" s="26" t="s">
        <v>325</v>
      </c>
      <c r="D173" s="83"/>
      <c r="E173" s="63">
        <v>59775</v>
      </c>
      <c r="F173" s="83">
        <v>244100</v>
      </c>
      <c r="G173" s="64"/>
      <c r="H173" s="85"/>
      <c r="I173" s="67">
        <v>80000</v>
      </c>
      <c r="J173" s="71"/>
      <c r="K173" s="84">
        <f t="shared" si="22"/>
        <v>80000</v>
      </c>
      <c r="L173" s="67">
        <f t="shared" si="23"/>
        <v>383875</v>
      </c>
    </row>
    <row r="174" spans="1:12" hidden="1" outlineLevel="1" x14ac:dyDescent="0.35">
      <c r="A174" s="93" t="s">
        <v>297</v>
      </c>
      <c r="B174" s="144" t="s">
        <v>298</v>
      </c>
      <c r="C174" s="26" t="s">
        <v>325</v>
      </c>
      <c r="D174" s="83"/>
      <c r="E174" s="63"/>
      <c r="F174" s="83"/>
      <c r="G174" s="64"/>
      <c r="H174" s="85"/>
      <c r="I174" s="67"/>
      <c r="J174" s="71"/>
      <c r="K174" s="84">
        <f t="shared" si="22"/>
        <v>0</v>
      </c>
      <c r="L174" s="67">
        <f t="shared" si="23"/>
        <v>0</v>
      </c>
    </row>
    <row r="175" spans="1:12" hidden="1" outlineLevel="1" x14ac:dyDescent="0.35">
      <c r="A175" s="93" t="s">
        <v>299</v>
      </c>
      <c r="B175" s="144" t="s">
        <v>232</v>
      </c>
      <c r="C175" s="26" t="s">
        <v>325</v>
      </c>
      <c r="D175" s="83"/>
      <c r="E175" s="63"/>
      <c r="F175" s="83"/>
      <c r="G175" s="64">
        <v>124</v>
      </c>
      <c r="H175" s="85"/>
      <c r="I175" s="67"/>
      <c r="J175" s="71"/>
      <c r="K175" s="84">
        <f t="shared" si="22"/>
        <v>0</v>
      </c>
      <c r="L175" s="67">
        <f t="shared" si="23"/>
        <v>124</v>
      </c>
    </row>
    <row r="176" spans="1:12" hidden="1" outlineLevel="1" x14ac:dyDescent="0.35">
      <c r="A176" s="93" t="s">
        <v>300</v>
      </c>
      <c r="B176" s="144" t="s">
        <v>234</v>
      </c>
      <c r="C176" s="26" t="s">
        <v>325</v>
      </c>
      <c r="D176" s="83"/>
      <c r="E176" s="63"/>
      <c r="F176" s="83"/>
      <c r="G176" s="64"/>
      <c r="H176" s="85"/>
      <c r="I176" s="67"/>
      <c r="J176" s="71"/>
      <c r="K176" s="84">
        <f t="shared" si="22"/>
        <v>0</v>
      </c>
      <c r="L176" s="67">
        <f t="shared" si="23"/>
        <v>0</v>
      </c>
    </row>
    <row r="177" spans="1:12" hidden="1" outlineLevel="1" x14ac:dyDescent="0.35">
      <c r="A177" s="93" t="s">
        <v>301</v>
      </c>
      <c r="B177" s="144" t="s">
        <v>302</v>
      </c>
      <c r="C177" s="26" t="s">
        <v>325</v>
      </c>
      <c r="D177" s="83"/>
      <c r="E177" s="63"/>
      <c r="F177" s="83">
        <v>-7999</v>
      </c>
      <c r="G177" s="64"/>
      <c r="H177" s="85"/>
      <c r="I177" s="67"/>
      <c r="J177" s="71"/>
      <c r="K177" s="84">
        <f t="shared" si="22"/>
        <v>0</v>
      </c>
      <c r="L177" s="67">
        <f t="shared" si="23"/>
        <v>-7999</v>
      </c>
    </row>
    <row r="178" spans="1:12" hidden="1" outlineLevel="1" x14ac:dyDescent="0.35">
      <c r="A178" s="93" t="s">
        <v>303</v>
      </c>
      <c r="B178" s="144" t="s">
        <v>304</v>
      </c>
      <c r="C178" s="26" t="s">
        <v>325</v>
      </c>
      <c r="D178" s="83"/>
      <c r="E178" s="63"/>
      <c r="F178" s="83">
        <v>178408</v>
      </c>
      <c r="G178" s="64">
        <v>100158</v>
      </c>
      <c r="H178" s="85">
        <v>91128</v>
      </c>
      <c r="I178" s="67">
        <v>56232</v>
      </c>
      <c r="J178" s="71"/>
      <c r="K178" s="84">
        <f t="shared" si="22"/>
        <v>56232</v>
      </c>
      <c r="L178" s="67">
        <f t="shared" si="23"/>
        <v>425926</v>
      </c>
    </row>
    <row r="179" spans="1:12" hidden="1" outlineLevel="1" x14ac:dyDescent="0.35">
      <c r="A179" s="93" t="s">
        <v>305</v>
      </c>
      <c r="B179" s="144" t="s">
        <v>306</v>
      </c>
      <c r="C179" s="26" t="s">
        <v>325</v>
      </c>
      <c r="D179" s="83"/>
      <c r="E179" s="63"/>
      <c r="F179" s="83"/>
      <c r="G179" s="64"/>
      <c r="H179" s="85"/>
      <c r="I179" s="67"/>
      <c r="J179" s="71"/>
      <c r="K179" s="84">
        <f t="shared" si="22"/>
        <v>0</v>
      </c>
      <c r="L179" s="67">
        <f t="shared" si="23"/>
        <v>0</v>
      </c>
    </row>
    <row r="180" spans="1:12" hidden="1" outlineLevel="1" x14ac:dyDescent="0.35">
      <c r="A180" s="93" t="s">
        <v>307</v>
      </c>
      <c r="B180" s="144" t="s">
        <v>308</v>
      </c>
      <c r="C180" s="26" t="s">
        <v>325</v>
      </c>
      <c r="D180" s="83"/>
      <c r="E180" s="63"/>
      <c r="F180" s="83"/>
      <c r="G180" s="64"/>
      <c r="H180" s="85"/>
      <c r="I180" s="67"/>
      <c r="J180" s="71"/>
      <c r="K180" s="84">
        <f t="shared" si="22"/>
        <v>0</v>
      </c>
      <c r="L180" s="67">
        <f t="shared" si="23"/>
        <v>0</v>
      </c>
    </row>
    <row r="181" spans="1:12" hidden="1" outlineLevel="1" x14ac:dyDescent="0.35">
      <c r="A181" s="93" t="s">
        <v>309</v>
      </c>
      <c r="B181" s="146" t="s">
        <v>310</v>
      </c>
      <c r="C181" s="26" t="s">
        <v>325</v>
      </c>
      <c r="D181" s="83"/>
      <c r="E181" s="63"/>
      <c r="F181" s="83"/>
      <c r="G181" s="64">
        <v>38030</v>
      </c>
      <c r="H181" s="85"/>
      <c r="I181" s="67"/>
      <c r="J181" s="71"/>
      <c r="K181" s="84">
        <f t="shared" si="22"/>
        <v>0</v>
      </c>
      <c r="L181" s="67">
        <f t="shared" si="23"/>
        <v>38030</v>
      </c>
    </row>
    <row r="182" spans="1:12" hidden="1" outlineLevel="1" x14ac:dyDescent="0.35">
      <c r="A182" s="93" t="s">
        <v>311</v>
      </c>
      <c r="B182" s="144" t="s">
        <v>312</v>
      </c>
      <c r="C182" s="26" t="s">
        <v>325</v>
      </c>
      <c r="D182" s="83"/>
      <c r="E182" s="63">
        <v>350000</v>
      </c>
      <c r="F182" s="83">
        <v>1300000</v>
      </c>
      <c r="G182" s="64">
        <v>700000</v>
      </c>
      <c r="H182" s="85">
        <v>728000</v>
      </c>
      <c r="I182" s="67"/>
      <c r="J182" s="71"/>
      <c r="K182" s="84">
        <f t="shared" si="22"/>
        <v>0</v>
      </c>
      <c r="L182" s="67">
        <f t="shared" si="23"/>
        <v>3078000</v>
      </c>
    </row>
    <row r="183" spans="1:12" hidden="1" outlineLevel="1" x14ac:dyDescent="0.35">
      <c r="A183" s="93" t="s">
        <v>313</v>
      </c>
      <c r="B183" s="144" t="s">
        <v>901</v>
      </c>
      <c r="C183" s="26" t="s">
        <v>325</v>
      </c>
      <c r="D183" s="83"/>
      <c r="E183" s="63"/>
      <c r="F183" s="83"/>
      <c r="G183" s="64"/>
      <c r="H183" s="85"/>
      <c r="I183" s="67"/>
      <c r="J183" s="71"/>
      <c r="K183" s="84">
        <f t="shared" si="22"/>
        <v>0</v>
      </c>
      <c r="L183" s="67">
        <f t="shared" si="23"/>
        <v>0</v>
      </c>
    </row>
    <row r="184" spans="1:12" hidden="1" outlineLevel="1" x14ac:dyDescent="0.35">
      <c r="A184" s="93" t="s">
        <v>314</v>
      </c>
      <c r="B184" s="144" t="s">
        <v>315</v>
      </c>
      <c r="C184" s="26" t="s">
        <v>325</v>
      </c>
      <c r="D184" s="83"/>
      <c r="E184" s="63"/>
      <c r="F184" s="83"/>
      <c r="G184" s="64"/>
      <c r="H184" s="85"/>
      <c r="I184" s="67"/>
      <c r="J184" s="71"/>
      <c r="K184" s="84">
        <f t="shared" si="22"/>
        <v>0</v>
      </c>
      <c r="L184" s="67">
        <f t="shared" si="23"/>
        <v>0</v>
      </c>
    </row>
    <row r="185" spans="1:12" hidden="1" outlineLevel="1" x14ac:dyDescent="0.35">
      <c r="A185" s="93" t="s">
        <v>316</v>
      </c>
      <c r="B185" s="144" t="s">
        <v>317</v>
      </c>
      <c r="C185" s="26" t="s">
        <v>325</v>
      </c>
      <c r="D185" s="83"/>
      <c r="E185" s="63"/>
      <c r="F185" s="83"/>
      <c r="G185" s="64"/>
      <c r="H185" s="85"/>
      <c r="I185" s="67"/>
      <c r="J185" s="71"/>
      <c r="K185" s="84">
        <f t="shared" si="22"/>
        <v>0</v>
      </c>
      <c r="L185" s="67">
        <f t="shared" si="23"/>
        <v>0</v>
      </c>
    </row>
    <row r="186" spans="1:12" hidden="1" outlineLevel="1" x14ac:dyDescent="0.35">
      <c r="A186" s="93" t="s">
        <v>318</v>
      </c>
      <c r="B186" s="144" t="s">
        <v>319</v>
      </c>
      <c r="C186" s="26" t="s">
        <v>325</v>
      </c>
      <c r="D186" s="83"/>
      <c r="E186" s="63"/>
      <c r="F186" s="83"/>
      <c r="G186" s="64"/>
      <c r="H186" s="85"/>
      <c r="I186" s="67"/>
      <c r="J186" s="71"/>
      <c r="K186" s="84">
        <f t="shared" si="22"/>
        <v>0</v>
      </c>
      <c r="L186" s="67">
        <f t="shared" si="23"/>
        <v>0</v>
      </c>
    </row>
    <row r="187" spans="1:12" hidden="1" outlineLevel="1" x14ac:dyDescent="0.35">
      <c r="A187" s="93" t="s">
        <v>320</v>
      </c>
      <c r="B187" s="144" t="s">
        <v>321</v>
      </c>
      <c r="C187" s="26" t="s">
        <v>325</v>
      </c>
      <c r="D187" s="83"/>
      <c r="E187" s="63"/>
      <c r="F187" s="83"/>
      <c r="G187" s="64"/>
      <c r="H187" s="85"/>
      <c r="I187" s="67"/>
      <c r="J187" s="71"/>
      <c r="K187" s="84">
        <f t="shared" si="22"/>
        <v>0</v>
      </c>
      <c r="L187" s="67">
        <f t="shared" si="23"/>
        <v>0</v>
      </c>
    </row>
    <row r="188" spans="1:12" hidden="1" outlineLevel="1" x14ac:dyDescent="0.35">
      <c r="A188" s="93" t="s">
        <v>322</v>
      </c>
      <c r="B188" s="144" t="s">
        <v>323</v>
      </c>
      <c r="C188" s="26" t="s">
        <v>325</v>
      </c>
      <c r="D188" s="83"/>
      <c r="E188" s="63"/>
      <c r="F188" s="83"/>
      <c r="G188" s="64"/>
      <c r="H188" s="85"/>
      <c r="I188" s="67"/>
      <c r="J188" s="71"/>
      <c r="K188" s="84">
        <f t="shared" si="22"/>
        <v>0</v>
      </c>
      <c r="L188" s="67">
        <f t="shared" si="23"/>
        <v>0</v>
      </c>
    </row>
    <row r="189" spans="1:12" hidden="1" outlineLevel="1" x14ac:dyDescent="0.35">
      <c r="A189" s="93" t="s">
        <v>324</v>
      </c>
      <c r="B189" s="144" t="s">
        <v>325</v>
      </c>
      <c r="C189" s="26" t="s">
        <v>325</v>
      </c>
      <c r="D189" s="83"/>
      <c r="E189" s="63"/>
      <c r="F189" s="83"/>
      <c r="G189" s="64"/>
      <c r="H189" s="85">
        <v>1500000</v>
      </c>
      <c r="I189" s="67"/>
      <c r="J189" s="71"/>
      <c r="K189" s="84">
        <f t="shared" si="22"/>
        <v>0</v>
      </c>
      <c r="L189" s="67">
        <f t="shared" si="23"/>
        <v>1500000</v>
      </c>
    </row>
    <row r="190" spans="1:12" ht="15" hidden="1" outlineLevel="1" thickBot="1" x14ac:dyDescent="0.4">
      <c r="A190" s="93" t="s">
        <v>326</v>
      </c>
      <c r="B190" s="144" t="s">
        <v>327</v>
      </c>
      <c r="C190" s="26" t="s">
        <v>325</v>
      </c>
      <c r="D190" s="83"/>
      <c r="E190" s="63"/>
      <c r="F190" s="83"/>
      <c r="G190" s="64"/>
      <c r="H190" s="85"/>
      <c r="I190" s="67"/>
      <c r="J190" s="71"/>
      <c r="K190" s="84">
        <f t="shared" si="22"/>
        <v>0</v>
      </c>
      <c r="L190" s="67">
        <f t="shared" si="23"/>
        <v>0</v>
      </c>
    </row>
    <row r="191" spans="1:12" ht="15" collapsed="1" thickBot="1" x14ac:dyDescent="0.4">
      <c r="A191" s="100"/>
      <c r="B191" s="108" t="s">
        <v>1285</v>
      </c>
      <c r="C191" s="34"/>
      <c r="D191" s="86">
        <f>SUM(D124:D172)</f>
        <v>0</v>
      </c>
      <c r="E191" s="51">
        <f t="shared" ref="E191" si="28">SUM(E124:E172)</f>
        <v>6213637</v>
      </c>
      <c r="F191" s="86">
        <f>F127+F146+F151+F172</f>
        <v>5783854</v>
      </c>
      <c r="G191" s="86">
        <f>G124+G127+G146+G151+G172</f>
        <v>7117786</v>
      </c>
      <c r="H191" s="86">
        <f>H127+H146+H151+H172</f>
        <v>6010196</v>
      </c>
      <c r="I191" s="86">
        <f>I146+I151+I172+I127</f>
        <v>1115518</v>
      </c>
      <c r="J191" s="141"/>
      <c r="K191" s="142">
        <f t="shared" si="22"/>
        <v>1115518</v>
      </c>
      <c r="L191" s="113">
        <f t="shared" si="23"/>
        <v>26240991</v>
      </c>
    </row>
    <row r="192" spans="1:12" x14ac:dyDescent="0.35">
      <c r="A192" s="101"/>
      <c r="B192" s="149"/>
      <c r="C192" s="35"/>
      <c r="D192" s="87"/>
      <c r="E192" s="73"/>
      <c r="F192" s="87"/>
      <c r="G192" s="73"/>
      <c r="H192" s="87"/>
      <c r="I192" s="67"/>
      <c r="J192" s="71"/>
      <c r="K192" s="84">
        <f t="shared" si="22"/>
        <v>0</v>
      </c>
      <c r="L192" s="67">
        <f t="shared" si="23"/>
        <v>0</v>
      </c>
    </row>
    <row r="193" spans="1:12" x14ac:dyDescent="0.35">
      <c r="A193" s="101"/>
      <c r="B193" s="149"/>
      <c r="C193" s="35"/>
      <c r="D193" s="87"/>
      <c r="E193" s="73"/>
      <c r="F193" s="87"/>
      <c r="G193" s="73"/>
      <c r="H193" s="87"/>
      <c r="I193" s="67"/>
      <c r="J193" s="71"/>
      <c r="K193" s="84">
        <f t="shared" si="22"/>
        <v>0</v>
      </c>
      <c r="L193" s="67">
        <f t="shared" si="23"/>
        <v>0</v>
      </c>
    </row>
    <row r="194" spans="1:12" collapsed="1" x14ac:dyDescent="0.35">
      <c r="A194" s="93"/>
      <c r="B194" s="144" t="s">
        <v>903</v>
      </c>
      <c r="C194" s="26"/>
      <c r="D194" s="83">
        <f>SUM(D195:D255)</f>
        <v>88916</v>
      </c>
      <c r="E194" s="63">
        <f t="shared" ref="E194:H194" si="29">SUM(E195:E255)</f>
        <v>424327</v>
      </c>
      <c r="F194" s="83">
        <f t="shared" si="29"/>
        <v>832767</v>
      </c>
      <c r="G194" s="63">
        <f>SUM(G195:G255)</f>
        <v>945101</v>
      </c>
      <c r="H194" s="83">
        <f t="shared" si="29"/>
        <v>994884</v>
      </c>
      <c r="I194" s="63">
        <f>SUM(I195:I255)</f>
        <v>187733</v>
      </c>
      <c r="J194" s="71"/>
      <c r="K194" s="84">
        <f t="shared" si="22"/>
        <v>187733</v>
      </c>
      <c r="L194" s="67">
        <f t="shared" si="23"/>
        <v>3473728</v>
      </c>
    </row>
    <row r="195" spans="1:12" hidden="1" outlineLevel="1" x14ac:dyDescent="0.35">
      <c r="A195" s="93" t="s">
        <v>328</v>
      </c>
      <c r="B195" s="144" t="s">
        <v>329</v>
      </c>
      <c r="C195" s="26" t="s">
        <v>903</v>
      </c>
      <c r="D195" s="83"/>
      <c r="E195" s="63"/>
      <c r="F195" s="83">
        <v>70262</v>
      </c>
      <c r="G195" s="64"/>
      <c r="H195" s="85"/>
      <c r="I195" s="67"/>
      <c r="J195" s="71"/>
      <c r="K195" s="84">
        <f t="shared" si="22"/>
        <v>0</v>
      </c>
      <c r="L195" s="67">
        <f t="shared" si="23"/>
        <v>70262</v>
      </c>
    </row>
    <row r="196" spans="1:12" hidden="1" outlineLevel="1" x14ac:dyDescent="0.35">
      <c r="A196" s="93" t="s">
        <v>330</v>
      </c>
      <c r="B196" s="144" t="s">
        <v>331</v>
      </c>
      <c r="C196" s="26" t="s">
        <v>903</v>
      </c>
      <c r="D196" s="83"/>
      <c r="E196" s="63"/>
      <c r="F196" s="83"/>
      <c r="G196" s="64">
        <v>18604</v>
      </c>
      <c r="H196" s="85"/>
      <c r="I196" s="67"/>
      <c r="J196" s="71"/>
      <c r="K196" s="84">
        <f t="shared" si="22"/>
        <v>0</v>
      </c>
      <c r="L196" s="67">
        <f t="shared" si="23"/>
        <v>18604</v>
      </c>
    </row>
    <row r="197" spans="1:12" hidden="1" outlineLevel="1" x14ac:dyDescent="0.35">
      <c r="A197" s="93" t="s">
        <v>332</v>
      </c>
      <c r="B197" s="144" t="s">
        <v>333</v>
      </c>
      <c r="C197" s="26" t="s">
        <v>903</v>
      </c>
      <c r="D197" s="85">
        <v>19616</v>
      </c>
      <c r="E197" s="63"/>
      <c r="F197" s="83"/>
      <c r="G197" s="64"/>
      <c r="H197" s="85">
        <v>115199</v>
      </c>
      <c r="I197" s="67"/>
      <c r="J197" s="71"/>
      <c r="K197" s="84">
        <f t="shared" si="22"/>
        <v>0</v>
      </c>
      <c r="L197" s="67">
        <f t="shared" si="23"/>
        <v>134815</v>
      </c>
    </row>
    <row r="198" spans="1:12" hidden="1" outlineLevel="1" x14ac:dyDescent="0.35">
      <c r="A198" s="93" t="s">
        <v>334</v>
      </c>
      <c r="B198" s="144" t="s">
        <v>335</v>
      </c>
      <c r="C198" s="26" t="s">
        <v>903</v>
      </c>
      <c r="D198" s="85"/>
      <c r="E198" s="63"/>
      <c r="F198" s="83"/>
      <c r="G198" s="64"/>
      <c r="H198" s="85"/>
      <c r="I198" s="67"/>
      <c r="J198" s="71"/>
      <c r="K198" s="84">
        <f t="shared" si="22"/>
        <v>0</v>
      </c>
      <c r="L198" s="67">
        <f t="shared" si="23"/>
        <v>0</v>
      </c>
    </row>
    <row r="199" spans="1:12" hidden="1" outlineLevel="1" x14ac:dyDescent="0.35">
      <c r="A199" s="93" t="s">
        <v>336</v>
      </c>
      <c r="B199" s="144" t="s">
        <v>337</v>
      </c>
      <c r="C199" s="26" t="s">
        <v>903</v>
      </c>
      <c r="D199" s="85"/>
      <c r="E199" s="63"/>
      <c r="F199" s="83"/>
      <c r="G199" s="64"/>
      <c r="H199" s="85"/>
      <c r="I199" s="67"/>
      <c r="J199" s="71"/>
      <c r="K199" s="84">
        <f t="shared" si="22"/>
        <v>0</v>
      </c>
      <c r="L199" s="67">
        <f t="shared" si="23"/>
        <v>0</v>
      </c>
    </row>
    <row r="200" spans="1:12" hidden="1" outlineLevel="1" x14ac:dyDescent="0.35">
      <c r="A200" s="93" t="s">
        <v>338</v>
      </c>
      <c r="B200" s="144" t="s">
        <v>339</v>
      </c>
      <c r="C200" s="26" t="s">
        <v>903</v>
      </c>
      <c r="D200" s="85"/>
      <c r="E200" s="63"/>
      <c r="F200" s="83"/>
      <c r="G200" s="64"/>
      <c r="H200" s="85"/>
      <c r="I200" s="67"/>
      <c r="J200" s="71"/>
      <c r="K200" s="84">
        <f t="shared" si="22"/>
        <v>0</v>
      </c>
      <c r="L200" s="67">
        <f t="shared" si="23"/>
        <v>0</v>
      </c>
    </row>
    <row r="201" spans="1:12" hidden="1" outlineLevel="1" x14ac:dyDescent="0.35">
      <c r="A201" s="93" t="s">
        <v>340</v>
      </c>
      <c r="B201" s="144" t="s">
        <v>341</v>
      </c>
      <c r="C201" s="26" t="s">
        <v>903</v>
      </c>
      <c r="D201" s="85"/>
      <c r="E201" s="63"/>
      <c r="F201" s="83"/>
      <c r="G201" s="64"/>
      <c r="H201" s="85"/>
      <c r="I201" s="67"/>
      <c r="J201" s="71"/>
      <c r="K201" s="84">
        <f t="shared" si="22"/>
        <v>0</v>
      </c>
      <c r="L201" s="67">
        <f t="shared" si="23"/>
        <v>0</v>
      </c>
    </row>
    <row r="202" spans="1:12" hidden="1" outlineLevel="1" x14ac:dyDescent="0.35">
      <c r="A202" s="93" t="s">
        <v>342</v>
      </c>
      <c r="B202" s="144" t="s">
        <v>343</v>
      </c>
      <c r="C202" s="26" t="s">
        <v>903</v>
      </c>
      <c r="D202" s="85"/>
      <c r="E202" s="63"/>
      <c r="F202" s="83"/>
      <c r="G202" s="64"/>
      <c r="H202" s="85"/>
      <c r="I202" s="67"/>
      <c r="J202" s="71"/>
      <c r="K202" s="84">
        <f t="shared" si="22"/>
        <v>0</v>
      </c>
      <c r="L202" s="67">
        <f t="shared" si="23"/>
        <v>0</v>
      </c>
    </row>
    <row r="203" spans="1:12" hidden="1" outlineLevel="1" x14ac:dyDescent="0.35">
      <c r="A203" s="93" t="s">
        <v>344</v>
      </c>
      <c r="B203" s="144" t="s">
        <v>345</v>
      </c>
      <c r="C203" s="26" t="s">
        <v>903</v>
      </c>
      <c r="D203" s="85"/>
      <c r="E203" s="63"/>
      <c r="F203" s="83"/>
      <c r="G203" s="64"/>
      <c r="H203" s="85"/>
      <c r="I203" s="67"/>
      <c r="J203" s="71"/>
      <c r="K203" s="84">
        <f t="shared" si="22"/>
        <v>0</v>
      </c>
      <c r="L203" s="67">
        <f t="shared" si="23"/>
        <v>0</v>
      </c>
    </row>
    <row r="204" spans="1:12" hidden="1" outlineLevel="1" x14ac:dyDescent="0.35">
      <c r="A204" s="93" t="s">
        <v>346</v>
      </c>
      <c r="B204" s="144" t="s">
        <v>347</v>
      </c>
      <c r="C204" s="26" t="s">
        <v>903</v>
      </c>
      <c r="D204" s="85"/>
      <c r="E204" s="63"/>
      <c r="F204" s="83"/>
      <c r="G204" s="64"/>
      <c r="H204" s="85"/>
      <c r="I204" s="67"/>
      <c r="J204" s="71"/>
      <c r="K204" s="84">
        <f t="shared" si="22"/>
        <v>0</v>
      </c>
      <c r="L204" s="67">
        <f t="shared" si="23"/>
        <v>0</v>
      </c>
    </row>
    <row r="205" spans="1:12" hidden="1" outlineLevel="1" x14ac:dyDescent="0.35">
      <c r="A205" s="93" t="s">
        <v>348</v>
      </c>
      <c r="B205" s="144" t="s">
        <v>349</v>
      </c>
      <c r="C205" s="26" t="s">
        <v>903</v>
      </c>
      <c r="D205" s="85"/>
      <c r="E205" s="63"/>
      <c r="F205" s="83"/>
      <c r="G205" s="64"/>
      <c r="H205" s="85"/>
      <c r="I205" s="67"/>
      <c r="J205" s="71"/>
      <c r="K205" s="84">
        <f t="shared" si="22"/>
        <v>0</v>
      </c>
      <c r="L205" s="67">
        <f t="shared" si="23"/>
        <v>0</v>
      </c>
    </row>
    <row r="206" spans="1:12" hidden="1" outlineLevel="1" x14ac:dyDescent="0.35">
      <c r="A206" s="93" t="s">
        <v>350</v>
      </c>
      <c r="B206" s="144" t="s">
        <v>351</v>
      </c>
      <c r="C206" s="26" t="s">
        <v>903</v>
      </c>
      <c r="D206" s="85"/>
      <c r="E206" s="63"/>
      <c r="F206" s="83"/>
      <c r="G206" s="64"/>
      <c r="H206" s="85"/>
      <c r="I206" s="67"/>
      <c r="J206" s="71"/>
      <c r="K206" s="84">
        <f t="shared" ref="K206:K273" si="30">J206+I206</f>
        <v>0</v>
      </c>
      <c r="L206" s="67">
        <f t="shared" ref="L206:L263" si="31">K206+D206+E206+F206+G206+H206</f>
        <v>0</v>
      </c>
    </row>
    <row r="207" spans="1:12" hidden="1" outlineLevel="1" x14ac:dyDescent="0.35">
      <c r="A207" s="93" t="s">
        <v>352</v>
      </c>
      <c r="B207" s="144" t="s">
        <v>353</v>
      </c>
      <c r="C207" s="26" t="s">
        <v>903</v>
      </c>
      <c r="D207" s="85"/>
      <c r="E207" s="63"/>
      <c r="F207" s="83"/>
      <c r="G207" s="64"/>
      <c r="H207" s="85"/>
      <c r="I207" s="67"/>
      <c r="J207" s="71"/>
      <c r="K207" s="84">
        <f t="shared" si="30"/>
        <v>0</v>
      </c>
      <c r="L207" s="67">
        <f t="shared" si="31"/>
        <v>0</v>
      </c>
    </row>
    <row r="208" spans="1:12" hidden="1" outlineLevel="1" x14ac:dyDescent="0.35">
      <c r="A208" s="93" t="s">
        <v>354</v>
      </c>
      <c r="B208" s="144" t="s">
        <v>355</v>
      </c>
      <c r="C208" s="26" t="s">
        <v>903</v>
      </c>
      <c r="D208" s="85"/>
      <c r="E208" s="63"/>
      <c r="F208" s="83"/>
      <c r="G208" s="64"/>
      <c r="H208" s="85"/>
      <c r="I208" s="67"/>
      <c r="J208" s="71"/>
      <c r="K208" s="84">
        <f t="shared" si="30"/>
        <v>0</v>
      </c>
      <c r="L208" s="67">
        <f t="shared" si="31"/>
        <v>0</v>
      </c>
    </row>
    <row r="209" spans="1:12" hidden="1" outlineLevel="1" x14ac:dyDescent="0.35">
      <c r="A209" s="93" t="s">
        <v>356</v>
      </c>
      <c r="B209" s="144" t="s">
        <v>357</v>
      </c>
      <c r="C209" s="26" t="s">
        <v>903</v>
      </c>
      <c r="D209" s="85"/>
      <c r="E209" s="63"/>
      <c r="F209" s="83"/>
      <c r="G209" s="64"/>
      <c r="H209" s="85"/>
      <c r="I209" s="67"/>
      <c r="J209" s="71"/>
      <c r="K209" s="84">
        <f t="shared" si="30"/>
        <v>0</v>
      </c>
      <c r="L209" s="67">
        <f t="shared" si="31"/>
        <v>0</v>
      </c>
    </row>
    <row r="210" spans="1:12" hidden="1" outlineLevel="1" x14ac:dyDescent="0.35">
      <c r="A210" s="93" t="s">
        <v>358</v>
      </c>
      <c r="B210" s="144" t="s">
        <v>359</v>
      </c>
      <c r="C210" s="26" t="s">
        <v>903</v>
      </c>
      <c r="D210" s="85"/>
      <c r="E210" s="63"/>
      <c r="F210" s="83"/>
      <c r="G210" s="64">
        <v>4500</v>
      </c>
      <c r="H210" s="85"/>
      <c r="I210" s="67"/>
      <c r="J210" s="71"/>
      <c r="K210" s="84">
        <f t="shared" si="30"/>
        <v>0</v>
      </c>
      <c r="L210" s="67">
        <f t="shared" si="31"/>
        <v>4500</v>
      </c>
    </row>
    <row r="211" spans="1:12" hidden="1" outlineLevel="1" x14ac:dyDescent="0.35">
      <c r="A211" s="93" t="s">
        <v>360</v>
      </c>
      <c r="B211" s="144" t="s">
        <v>361</v>
      </c>
      <c r="C211" s="26" t="s">
        <v>903</v>
      </c>
      <c r="D211" s="85"/>
      <c r="E211" s="63"/>
      <c r="F211" s="83">
        <v>66876</v>
      </c>
      <c r="G211" s="64">
        <v>20828</v>
      </c>
      <c r="H211" s="85">
        <v>136738</v>
      </c>
      <c r="I211" s="67"/>
      <c r="J211" s="71"/>
      <c r="K211" s="84">
        <f t="shared" si="30"/>
        <v>0</v>
      </c>
      <c r="L211" s="67">
        <f t="shared" si="31"/>
        <v>224442</v>
      </c>
    </row>
    <row r="212" spans="1:12" hidden="1" outlineLevel="1" x14ac:dyDescent="0.35">
      <c r="A212" s="93" t="s">
        <v>362</v>
      </c>
      <c r="B212" s="144" t="s">
        <v>363</v>
      </c>
      <c r="C212" s="26" t="s">
        <v>903</v>
      </c>
      <c r="D212" s="85"/>
      <c r="E212" s="63"/>
      <c r="F212" s="83">
        <v>24900</v>
      </c>
      <c r="G212" s="64">
        <v>600</v>
      </c>
      <c r="H212" s="85">
        <v>100000</v>
      </c>
      <c r="I212" s="67"/>
      <c r="J212" s="71"/>
      <c r="K212" s="84">
        <f t="shared" si="30"/>
        <v>0</v>
      </c>
      <c r="L212" s="67">
        <f t="shared" si="31"/>
        <v>125500</v>
      </c>
    </row>
    <row r="213" spans="1:12" hidden="1" outlineLevel="1" x14ac:dyDescent="0.35">
      <c r="A213" s="93" t="s">
        <v>364</v>
      </c>
      <c r="B213" s="144" t="s">
        <v>365</v>
      </c>
      <c r="C213" s="26" t="s">
        <v>903</v>
      </c>
      <c r="D213" s="85">
        <v>4000</v>
      </c>
      <c r="E213" s="63"/>
      <c r="F213" s="83">
        <v>57338</v>
      </c>
      <c r="G213" s="64">
        <v>6687</v>
      </c>
      <c r="H213" s="85"/>
      <c r="I213" s="67"/>
      <c r="J213" s="71"/>
      <c r="K213" s="84">
        <f t="shared" si="30"/>
        <v>0</v>
      </c>
      <c r="L213" s="67">
        <f t="shared" si="31"/>
        <v>68025</v>
      </c>
    </row>
    <row r="214" spans="1:12" hidden="1" outlineLevel="1" x14ac:dyDescent="0.35">
      <c r="A214" s="93" t="s">
        <v>366</v>
      </c>
      <c r="B214" s="144" t="s">
        <v>367</v>
      </c>
      <c r="C214" s="26" t="s">
        <v>903</v>
      </c>
      <c r="D214" s="85"/>
      <c r="E214" s="63"/>
      <c r="F214" s="83"/>
      <c r="G214" s="64">
        <v>120</v>
      </c>
      <c r="H214" s="85"/>
      <c r="I214" s="67"/>
      <c r="J214" s="71"/>
      <c r="K214" s="84">
        <f t="shared" si="30"/>
        <v>0</v>
      </c>
      <c r="L214" s="67">
        <f t="shared" si="31"/>
        <v>120</v>
      </c>
    </row>
    <row r="215" spans="1:12" hidden="1" outlineLevel="1" x14ac:dyDescent="0.35">
      <c r="A215" s="93" t="s">
        <v>368</v>
      </c>
      <c r="B215" s="144" t="s">
        <v>906</v>
      </c>
      <c r="C215" s="26" t="s">
        <v>903</v>
      </c>
      <c r="D215" s="85"/>
      <c r="E215" s="63"/>
      <c r="F215" s="83"/>
      <c r="G215" s="64"/>
      <c r="H215" s="85"/>
      <c r="I215" s="67"/>
      <c r="J215" s="71"/>
      <c r="K215" s="84">
        <f t="shared" si="30"/>
        <v>0</v>
      </c>
      <c r="L215" s="67">
        <f t="shared" si="31"/>
        <v>0</v>
      </c>
    </row>
    <row r="216" spans="1:12" hidden="1" outlineLevel="1" x14ac:dyDescent="0.35">
      <c r="A216" s="93" t="s">
        <v>370</v>
      </c>
      <c r="B216" s="144" t="s">
        <v>371</v>
      </c>
      <c r="C216" s="26" t="s">
        <v>903</v>
      </c>
      <c r="D216" s="85"/>
      <c r="E216" s="63"/>
      <c r="F216" s="83"/>
      <c r="G216" s="64"/>
      <c r="H216" s="85"/>
      <c r="I216" s="67"/>
      <c r="J216" s="71"/>
      <c r="K216" s="84">
        <f t="shared" si="30"/>
        <v>0</v>
      </c>
      <c r="L216" s="67">
        <f t="shared" si="31"/>
        <v>0</v>
      </c>
    </row>
    <row r="217" spans="1:12" hidden="1" outlineLevel="1" x14ac:dyDescent="0.35">
      <c r="A217" s="93" t="s">
        <v>372</v>
      </c>
      <c r="B217" s="144" t="s">
        <v>373</v>
      </c>
      <c r="C217" s="26" t="s">
        <v>903</v>
      </c>
      <c r="D217" s="85"/>
      <c r="E217" s="63"/>
      <c r="F217" s="83"/>
      <c r="G217" s="64"/>
      <c r="H217" s="85"/>
      <c r="I217" s="67"/>
      <c r="J217" s="71"/>
      <c r="K217" s="84">
        <f t="shared" si="30"/>
        <v>0</v>
      </c>
      <c r="L217" s="67">
        <f t="shared" si="31"/>
        <v>0</v>
      </c>
    </row>
    <row r="218" spans="1:12" hidden="1" outlineLevel="1" x14ac:dyDescent="0.35">
      <c r="A218" s="93" t="s">
        <v>374</v>
      </c>
      <c r="B218" s="144" t="s">
        <v>907</v>
      </c>
      <c r="C218" s="26" t="s">
        <v>903</v>
      </c>
      <c r="D218" s="83"/>
      <c r="E218" s="63"/>
      <c r="F218" s="83">
        <v>141649</v>
      </c>
      <c r="G218" s="64">
        <v>131919</v>
      </c>
      <c r="H218" s="85">
        <v>21000</v>
      </c>
      <c r="I218" s="67"/>
      <c r="J218" s="71"/>
      <c r="K218" s="84">
        <f t="shared" si="30"/>
        <v>0</v>
      </c>
      <c r="L218" s="67">
        <f t="shared" si="31"/>
        <v>294568</v>
      </c>
    </row>
    <row r="219" spans="1:12" hidden="1" outlineLevel="1" x14ac:dyDescent="0.35">
      <c r="A219" s="93" t="s">
        <v>375</v>
      </c>
      <c r="B219" s="144" t="s">
        <v>376</v>
      </c>
      <c r="C219" s="26" t="s">
        <v>903</v>
      </c>
      <c r="D219" s="85"/>
      <c r="E219" s="63"/>
      <c r="F219" s="83"/>
      <c r="G219" s="64"/>
      <c r="H219" s="85"/>
      <c r="I219" s="67"/>
      <c r="J219" s="71"/>
      <c r="K219" s="84">
        <f t="shared" si="30"/>
        <v>0</v>
      </c>
      <c r="L219" s="67">
        <f t="shared" si="31"/>
        <v>0</v>
      </c>
    </row>
    <row r="220" spans="1:12" hidden="1" outlineLevel="1" x14ac:dyDescent="0.35">
      <c r="A220" s="93" t="s">
        <v>377</v>
      </c>
      <c r="B220" s="144" t="s">
        <v>378</v>
      </c>
      <c r="C220" s="26" t="s">
        <v>903</v>
      </c>
      <c r="D220" s="83"/>
      <c r="E220" s="63"/>
      <c r="F220" s="83"/>
      <c r="G220" s="64"/>
      <c r="H220" s="85"/>
      <c r="I220" s="67"/>
      <c r="J220" s="71"/>
      <c r="K220" s="84">
        <f t="shared" si="30"/>
        <v>0</v>
      </c>
      <c r="L220" s="67">
        <f t="shared" si="31"/>
        <v>0</v>
      </c>
    </row>
    <row r="221" spans="1:12" hidden="1" outlineLevel="1" x14ac:dyDescent="0.35">
      <c r="A221" s="93" t="s">
        <v>379</v>
      </c>
      <c r="B221" s="144" t="s">
        <v>380</v>
      </c>
      <c r="C221" s="26" t="s">
        <v>903</v>
      </c>
      <c r="D221" s="85"/>
      <c r="E221" s="63"/>
      <c r="F221" s="83"/>
      <c r="G221" s="64"/>
      <c r="H221" s="85"/>
      <c r="I221" s="67"/>
      <c r="J221" s="71"/>
      <c r="K221" s="84">
        <f t="shared" si="30"/>
        <v>0</v>
      </c>
      <c r="L221" s="67">
        <f t="shared" si="31"/>
        <v>0</v>
      </c>
    </row>
    <row r="222" spans="1:12" hidden="1" outlineLevel="1" x14ac:dyDescent="0.35">
      <c r="A222" s="93" t="s">
        <v>381</v>
      </c>
      <c r="B222" s="144" t="s">
        <v>382</v>
      </c>
      <c r="C222" s="26" t="s">
        <v>903</v>
      </c>
      <c r="D222" s="85"/>
      <c r="E222" s="63"/>
      <c r="F222" s="83"/>
      <c r="G222" s="64"/>
      <c r="H222" s="85"/>
      <c r="I222" s="67"/>
      <c r="J222" s="71"/>
      <c r="K222" s="84">
        <f t="shared" si="30"/>
        <v>0</v>
      </c>
      <c r="L222" s="67">
        <f t="shared" si="31"/>
        <v>0</v>
      </c>
    </row>
    <row r="223" spans="1:12" hidden="1" outlineLevel="1" x14ac:dyDescent="0.35">
      <c r="A223" s="93" t="s">
        <v>383</v>
      </c>
      <c r="B223" s="144" t="s">
        <v>384</v>
      </c>
      <c r="C223" s="26" t="s">
        <v>903</v>
      </c>
      <c r="D223" s="85">
        <v>65300</v>
      </c>
      <c r="E223" s="63"/>
      <c r="F223" s="83"/>
      <c r="G223" s="64"/>
      <c r="H223" s="85"/>
      <c r="I223" s="67"/>
      <c r="J223" s="71"/>
      <c r="K223" s="84">
        <f t="shared" si="30"/>
        <v>0</v>
      </c>
      <c r="L223" s="67">
        <f t="shared" si="31"/>
        <v>65300</v>
      </c>
    </row>
    <row r="224" spans="1:12" hidden="1" outlineLevel="1" x14ac:dyDescent="0.35">
      <c r="A224" s="93" t="s">
        <v>385</v>
      </c>
      <c r="B224" s="144" t="s">
        <v>386</v>
      </c>
      <c r="C224" s="26" t="s">
        <v>903</v>
      </c>
      <c r="D224" s="85"/>
      <c r="E224" s="63"/>
      <c r="F224" s="83"/>
      <c r="G224" s="64"/>
      <c r="H224" s="85"/>
      <c r="I224" s="67"/>
      <c r="J224" s="71"/>
      <c r="K224" s="84">
        <f t="shared" si="30"/>
        <v>0</v>
      </c>
      <c r="L224" s="67">
        <f t="shared" si="31"/>
        <v>0</v>
      </c>
    </row>
    <row r="225" spans="1:12" hidden="1" outlineLevel="1" x14ac:dyDescent="0.35">
      <c r="A225" s="93">
        <v>3078</v>
      </c>
      <c r="B225" s="144" t="s">
        <v>388</v>
      </c>
      <c r="C225" s="26" t="s">
        <v>903</v>
      </c>
      <c r="D225" s="85"/>
      <c r="E225" s="63"/>
      <c r="F225" s="83"/>
      <c r="G225" s="64"/>
      <c r="H225" s="85"/>
      <c r="I225" s="67"/>
      <c r="J225" s="71"/>
      <c r="K225" s="84">
        <f t="shared" si="30"/>
        <v>0</v>
      </c>
      <c r="L225" s="67">
        <f t="shared" si="31"/>
        <v>0</v>
      </c>
    </row>
    <row r="226" spans="1:12" hidden="1" outlineLevel="1" x14ac:dyDescent="0.35">
      <c r="A226" s="93" t="s">
        <v>389</v>
      </c>
      <c r="B226" s="144" t="s">
        <v>390</v>
      </c>
      <c r="C226" s="26" t="s">
        <v>903</v>
      </c>
      <c r="D226" s="85"/>
      <c r="E226" s="63"/>
      <c r="F226" s="83"/>
      <c r="G226" s="64"/>
      <c r="H226" s="85"/>
      <c r="I226" s="67"/>
      <c r="J226" s="71"/>
      <c r="K226" s="84">
        <f t="shared" si="30"/>
        <v>0</v>
      </c>
      <c r="L226" s="67">
        <f t="shared" si="31"/>
        <v>0</v>
      </c>
    </row>
    <row r="227" spans="1:12" hidden="1" outlineLevel="1" x14ac:dyDescent="0.35">
      <c r="A227" s="93" t="s">
        <v>908</v>
      </c>
      <c r="B227" s="150" t="s">
        <v>909</v>
      </c>
      <c r="C227" s="26" t="s">
        <v>903</v>
      </c>
      <c r="D227" s="85"/>
      <c r="E227" s="63"/>
      <c r="F227" s="83"/>
      <c r="G227" s="64"/>
      <c r="H227" s="85"/>
      <c r="I227" s="67"/>
      <c r="J227" s="71"/>
      <c r="K227" s="84">
        <f t="shared" si="30"/>
        <v>0</v>
      </c>
      <c r="L227" s="67">
        <f t="shared" si="31"/>
        <v>0</v>
      </c>
    </row>
    <row r="228" spans="1:12" hidden="1" outlineLevel="1" x14ac:dyDescent="0.35">
      <c r="A228" s="93" t="s">
        <v>391</v>
      </c>
      <c r="B228" s="144" t="s">
        <v>392</v>
      </c>
      <c r="C228" s="26" t="s">
        <v>903</v>
      </c>
      <c r="D228" s="85"/>
      <c r="E228" s="63"/>
      <c r="F228" s="83"/>
      <c r="G228" s="64"/>
      <c r="H228" s="85"/>
      <c r="I228" s="67"/>
      <c r="J228" s="71"/>
      <c r="K228" s="84">
        <f t="shared" si="30"/>
        <v>0</v>
      </c>
      <c r="L228" s="67">
        <f t="shared" si="31"/>
        <v>0</v>
      </c>
    </row>
    <row r="229" spans="1:12" hidden="1" outlineLevel="1" x14ac:dyDescent="0.35">
      <c r="A229" s="93" t="s">
        <v>393</v>
      </c>
      <c r="B229" s="144" t="s">
        <v>394</v>
      </c>
      <c r="C229" s="26" t="s">
        <v>903</v>
      </c>
      <c r="D229" s="85"/>
      <c r="E229" s="63"/>
      <c r="F229" s="83"/>
      <c r="G229" s="64">
        <v>17084</v>
      </c>
      <c r="H229" s="85"/>
      <c r="I229" s="67"/>
      <c r="J229" s="71"/>
      <c r="K229" s="84">
        <f t="shared" si="30"/>
        <v>0</v>
      </c>
      <c r="L229" s="67">
        <f t="shared" si="31"/>
        <v>17084</v>
      </c>
    </row>
    <row r="230" spans="1:12" hidden="1" outlineLevel="1" x14ac:dyDescent="0.35">
      <c r="A230" s="93" t="s">
        <v>395</v>
      </c>
      <c r="B230" s="144" t="s">
        <v>396</v>
      </c>
      <c r="C230" s="26" t="s">
        <v>903</v>
      </c>
      <c r="D230" s="85"/>
      <c r="E230" s="63"/>
      <c r="F230" s="83"/>
      <c r="G230" s="64"/>
      <c r="H230" s="85"/>
      <c r="I230" s="67"/>
      <c r="J230" s="71"/>
      <c r="K230" s="84">
        <f t="shared" si="30"/>
        <v>0</v>
      </c>
      <c r="L230" s="67">
        <f t="shared" si="31"/>
        <v>0</v>
      </c>
    </row>
    <row r="231" spans="1:12" hidden="1" outlineLevel="1" x14ac:dyDescent="0.35">
      <c r="A231" s="93" t="s">
        <v>397</v>
      </c>
      <c r="B231" s="144" t="s">
        <v>398</v>
      </c>
      <c r="C231" s="26" t="s">
        <v>903</v>
      </c>
      <c r="D231" s="85"/>
      <c r="E231" s="63"/>
      <c r="F231" s="83"/>
      <c r="G231" s="64"/>
      <c r="H231" s="85"/>
      <c r="I231" s="67"/>
      <c r="J231" s="71"/>
      <c r="K231" s="84">
        <f t="shared" si="30"/>
        <v>0</v>
      </c>
      <c r="L231" s="67">
        <f t="shared" si="31"/>
        <v>0</v>
      </c>
    </row>
    <row r="232" spans="1:12" hidden="1" outlineLevel="1" x14ac:dyDescent="0.35">
      <c r="A232" s="93" t="s">
        <v>399</v>
      </c>
      <c r="B232" s="144" t="s">
        <v>400</v>
      </c>
      <c r="C232" s="26" t="s">
        <v>903</v>
      </c>
      <c r="D232" s="85"/>
      <c r="E232" s="63"/>
      <c r="F232" s="83"/>
      <c r="G232" s="64"/>
      <c r="H232" s="85"/>
      <c r="I232" s="67"/>
      <c r="J232" s="71"/>
      <c r="K232" s="84">
        <f t="shared" si="30"/>
        <v>0</v>
      </c>
      <c r="L232" s="67">
        <f t="shared" si="31"/>
        <v>0</v>
      </c>
    </row>
    <row r="233" spans="1:12" hidden="1" outlineLevel="1" x14ac:dyDescent="0.35">
      <c r="A233" s="93" t="s">
        <v>401</v>
      </c>
      <c r="B233" s="144" t="s">
        <v>402</v>
      </c>
      <c r="C233" s="26" t="s">
        <v>903</v>
      </c>
      <c r="D233" s="85"/>
      <c r="E233" s="63"/>
      <c r="F233" s="83"/>
      <c r="G233" s="64">
        <v>299</v>
      </c>
      <c r="H233" s="85"/>
      <c r="I233" s="67"/>
      <c r="J233" s="71"/>
      <c r="K233" s="84">
        <f t="shared" si="30"/>
        <v>0</v>
      </c>
      <c r="L233" s="67">
        <f t="shared" si="31"/>
        <v>299</v>
      </c>
    </row>
    <row r="234" spans="1:12" hidden="1" outlineLevel="1" x14ac:dyDescent="0.35">
      <c r="A234" s="93" t="s">
        <v>403</v>
      </c>
      <c r="B234" s="144" t="s">
        <v>404</v>
      </c>
      <c r="C234" s="26" t="s">
        <v>903</v>
      </c>
      <c r="D234" s="85"/>
      <c r="E234" s="63"/>
      <c r="F234" s="83"/>
      <c r="G234" s="64"/>
      <c r="H234" s="85"/>
      <c r="I234" s="67"/>
      <c r="J234" s="71"/>
      <c r="K234" s="84">
        <f t="shared" si="30"/>
        <v>0</v>
      </c>
      <c r="L234" s="67">
        <f t="shared" si="31"/>
        <v>0</v>
      </c>
    </row>
    <row r="235" spans="1:12" hidden="1" outlineLevel="1" x14ac:dyDescent="0.35">
      <c r="A235" s="93" t="s">
        <v>405</v>
      </c>
      <c r="B235" s="144" t="s">
        <v>406</v>
      </c>
      <c r="C235" s="26" t="s">
        <v>903</v>
      </c>
      <c r="D235" s="85"/>
      <c r="E235" s="63"/>
      <c r="F235" s="83"/>
      <c r="G235" s="64"/>
      <c r="H235" s="85"/>
      <c r="I235" s="67"/>
      <c r="J235" s="71"/>
      <c r="K235" s="84">
        <f t="shared" si="30"/>
        <v>0</v>
      </c>
      <c r="L235" s="67">
        <f t="shared" si="31"/>
        <v>0</v>
      </c>
    </row>
    <row r="236" spans="1:12" hidden="1" outlineLevel="1" x14ac:dyDescent="0.35">
      <c r="A236" s="93" t="s">
        <v>407</v>
      </c>
      <c r="B236" s="144" t="s">
        <v>408</v>
      </c>
      <c r="C236" s="26" t="s">
        <v>903</v>
      </c>
      <c r="D236" s="85"/>
      <c r="E236" s="63"/>
      <c r="F236" s="83">
        <v>329822</v>
      </c>
      <c r="G236" s="64"/>
      <c r="H236" s="85">
        <v>272215</v>
      </c>
      <c r="I236" s="67"/>
      <c r="J236" s="71"/>
      <c r="K236" s="84">
        <f t="shared" si="30"/>
        <v>0</v>
      </c>
      <c r="L236" s="67">
        <f t="shared" si="31"/>
        <v>602037</v>
      </c>
    </row>
    <row r="237" spans="1:12" hidden="1" outlineLevel="1" x14ac:dyDescent="0.35">
      <c r="A237" s="93" t="s">
        <v>409</v>
      </c>
      <c r="B237" s="144" t="s">
        <v>410</v>
      </c>
      <c r="C237" s="26" t="s">
        <v>903</v>
      </c>
      <c r="D237" s="85"/>
      <c r="E237" s="63"/>
      <c r="F237" s="83"/>
      <c r="G237" s="64"/>
      <c r="H237" s="85"/>
      <c r="I237" s="67"/>
      <c r="J237" s="71"/>
      <c r="K237" s="84">
        <f t="shared" si="30"/>
        <v>0</v>
      </c>
      <c r="L237" s="67">
        <f t="shared" si="31"/>
        <v>0</v>
      </c>
    </row>
    <row r="238" spans="1:12" hidden="1" outlineLevel="1" x14ac:dyDescent="0.35">
      <c r="A238" s="93" t="s">
        <v>411</v>
      </c>
      <c r="B238" s="144" t="s">
        <v>412</v>
      </c>
      <c r="C238" s="26" t="s">
        <v>903</v>
      </c>
      <c r="D238" s="85"/>
      <c r="E238" s="63">
        <v>1000</v>
      </c>
      <c r="F238" s="83"/>
      <c r="G238" s="64">
        <v>248</v>
      </c>
      <c r="H238" s="85"/>
      <c r="I238" s="67"/>
      <c r="J238" s="71"/>
      <c r="K238" s="84">
        <f t="shared" si="30"/>
        <v>0</v>
      </c>
      <c r="L238" s="67">
        <f t="shared" si="31"/>
        <v>1248</v>
      </c>
    </row>
    <row r="239" spans="1:12" hidden="1" outlineLevel="1" x14ac:dyDescent="0.35">
      <c r="A239" s="93" t="s">
        <v>413</v>
      </c>
      <c r="B239" s="144" t="s">
        <v>414</v>
      </c>
      <c r="C239" s="26" t="s">
        <v>903</v>
      </c>
      <c r="D239" s="85"/>
      <c r="E239" s="63">
        <v>196484</v>
      </c>
      <c r="F239" s="83"/>
      <c r="G239" s="64">
        <v>502475</v>
      </c>
      <c r="H239" s="85"/>
      <c r="I239" s="67">
        <f>34300+140133</f>
        <v>174433</v>
      </c>
      <c r="J239" s="71"/>
      <c r="K239" s="84">
        <f t="shared" si="30"/>
        <v>174433</v>
      </c>
      <c r="L239" s="67">
        <f t="shared" si="31"/>
        <v>873392</v>
      </c>
    </row>
    <row r="240" spans="1:12" hidden="1" outlineLevel="1" x14ac:dyDescent="0.35">
      <c r="A240" s="93" t="s">
        <v>415</v>
      </c>
      <c r="B240" s="144" t="s">
        <v>416</v>
      </c>
      <c r="C240" s="26" t="s">
        <v>903</v>
      </c>
      <c r="D240" s="85"/>
      <c r="E240" s="63">
        <v>24300</v>
      </c>
      <c r="F240" s="83">
        <v>141920</v>
      </c>
      <c r="G240" s="64"/>
      <c r="H240" s="85"/>
      <c r="I240" s="67">
        <v>13300</v>
      </c>
      <c r="J240" s="71"/>
      <c r="K240" s="84">
        <f t="shared" si="30"/>
        <v>13300</v>
      </c>
      <c r="L240" s="67">
        <f t="shared" si="31"/>
        <v>179520</v>
      </c>
    </row>
    <row r="241" spans="1:12" hidden="1" outlineLevel="1" x14ac:dyDescent="0.35">
      <c r="A241" s="93" t="s">
        <v>417</v>
      </c>
      <c r="B241" s="144" t="s">
        <v>418</v>
      </c>
      <c r="C241" s="26" t="s">
        <v>903</v>
      </c>
      <c r="D241" s="85"/>
      <c r="E241" s="63"/>
      <c r="F241" s="83"/>
      <c r="G241" s="64"/>
      <c r="H241" s="85"/>
      <c r="I241" s="67"/>
      <c r="J241" s="71"/>
      <c r="K241" s="84">
        <f t="shared" si="30"/>
        <v>0</v>
      </c>
      <c r="L241" s="67">
        <f t="shared" si="31"/>
        <v>0</v>
      </c>
    </row>
    <row r="242" spans="1:12" hidden="1" outlineLevel="1" x14ac:dyDescent="0.35">
      <c r="A242" s="93" t="s">
        <v>419</v>
      </c>
      <c r="B242" s="144" t="s">
        <v>420</v>
      </c>
      <c r="C242" s="26" t="s">
        <v>903</v>
      </c>
      <c r="D242" s="85"/>
      <c r="E242" s="63"/>
      <c r="F242" s="83"/>
      <c r="G242" s="64">
        <v>66240</v>
      </c>
      <c r="H242" s="85"/>
      <c r="I242" s="67"/>
      <c r="J242" s="71"/>
      <c r="K242" s="84">
        <f t="shared" si="30"/>
        <v>0</v>
      </c>
      <c r="L242" s="67">
        <f t="shared" si="31"/>
        <v>66240</v>
      </c>
    </row>
    <row r="243" spans="1:12" hidden="1" outlineLevel="1" x14ac:dyDescent="0.35">
      <c r="A243" s="93" t="s">
        <v>912</v>
      </c>
      <c r="B243" s="144" t="s">
        <v>913</v>
      </c>
      <c r="C243" s="26" t="s">
        <v>903</v>
      </c>
      <c r="D243" s="85"/>
      <c r="E243" s="63"/>
      <c r="F243" s="83"/>
      <c r="G243" s="64"/>
      <c r="H243" s="85"/>
      <c r="I243" s="67"/>
      <c r="J243" s="71"/>
      <c r="K243" s="84">
        <f t="shared" si="30"/>
        <v>0</v>
      </c>
      <c r="L243" s="67">
        <f t="shared" si="31"/>
        <v>0</v>
      </c>
    </row>
    <row r="244" spans="1:12" hidden="1" outlineLevel="1" x14ac:dyDescent="0.35">
      <c r="A244" s="93" t="s">
        <v>421</v>
      </c>
      <c r="B244" s="144" t="s">
        <v>422</v>
      </c>
      <c r="C244" s="26" t="s">
        <v>903</v>
      </c>
      <c r="D244" s="85"/>
      <c r="E244" s="63"/>
      <c r="F244" s="83"/>
      <c r="G244" s="64"/>
      <c r="H244" s="85"/>
      <c r="I244" s="67"/>
      <c r="J244" s="71"/>
      <c r="K244" s="84">
        <f t="shared" si="30"/>
        <v>0</v>
      </c>
      <c r="L244" s="67">
        <f t="shared" si="31"/>
        <v>0</v>
      </c>
    </row>
    <row r="245" spans="1:12" hidden="1" outlineLevel="1" x14ac:dyDescent="0.35">
      <c r="A245" s="93" t="s">
        <v>423</v>
      </c>
      <c r="B245" s="150" t="s">
        <v>424</v>
      </c>
      <c r="C245" s="26" t="s">
        <v>903</v>
      </c>
      <c r="D245" s="85"/>
      <c r="E245" s="63">
        <v>202543</v>
      </c>
      <c r="F245" s="83"/>
      <c r="G245" s="64"/>
      <c r="H245" s="85"/>
      <c r="I245" s="67"/>
      <c r="J245" s="71"/>
      <c r="K245" s="84">
        <f t="shared" si="30"/>
        <v>0</v>
      </c>
      <c r="L245" s="67">
        <f t="shared" si="31"/>
        <v>202543</v>
      </c>
    </row>
    <row r="246" spans="1:12" hidden="1" outlineLevel="1" x14ac:dyDescent="0.35">
      <c r="A246" s="93" t="s">
        <v>425</v>
      </c>
      <c r="B246" s="150" t="s">
        <v>426</v>
      </c>
      <c r="C246" s="26" t="s">
        <v>903</v>
      </c>
      <c r="D246" s="85"/>
      <c r="E246" s="63"/>
      <c r="F246" s="83"/>
      <c r="G246" s="64"/>
      <c r="H246" s="85"/>
      <c r="I246" s="67"/>
      <c r="J246" s="71"/>
      <c r="K246" s="84">
        <f t="shared" si="30"/>
        <v>0</v>
      </c>
      <c r="L246" s="67">
        <f t="shared" si="31"/>
        <v>0</v>
      </c>
    </row>
    <row r="247" spans="1:12" hidden="1" outlineLevel="1" x14ac:dyDescent="0.35">
      <c r="A247" s="93" t="s">
        <v>427</v>
      </c>
      <c r="B247" s="144" t="s">
        <v>428</v>
      </c>
      <c r="C247" s="26" t="s">
        <v>903</v>
      </c>
      <c r="D247" s="85"/>
      <c r="E247" s="63"/>
      <c r="F247" s="83"/>
      <c r="G247" s="64"/>
      <c r="H247" s="85"/>
      <c r="I247" s="67"/>
      <c r="J247" s="71"/>
      <c r="K247" s="84">
        <f t="shared" si="30"/>
        <v>0</v>
      </c>
      <c r="L247" s="67">
        <f t="shared" si="31"/>
        <v>0</v>
      </c>
    </row>
    <row r="248" spans="1:12" hidden="1" outlineLevel="1" x14ac:dyDescent="0.35">
      <c r="A248" s="93" t="s">
        <v>429</v>
      </c>
      <c r="B248" s="144" t="s">
        <v>430</v>
      </c>
      <c r="C248" s="26" t="s">
        <v>903</v>
      </c>
      <c r="D248" s="85"/>
      <c r="E248" s="63"/>
      <c r="F248" s="83"/>
      <c r="G248" s="64"/>
      <c r="H248" s="85">
        <v>253729</v>
      </c>
      <c r="I248" s="67"/>
      <c r="J248" s="71"/>
      <c r="K248" s="84">
        <f t="shared" si="30"/>
        <v>0</v>
      </c>
      <c r="L248" s="67">
        <f t="shared" si="31"/>
        <v>253729</v>
      </c>
    </row>
    <row r="249" spans="1:12" hidden="1" outlineLevel="1" x14ac:dyDescent="0.35">
      <c r="A249" s="93" t="s">
        <v>431</v>
      </c>
      <c r="B249" s="144" t="s">
        <v>432</v>
      </c>
      <c r="C249" s="26" t="s">
        <v>903</v>
      </c>
      <c r="D249" s="85"/>
      <c r="E249" s="63"/>
      <c r="F249" s="83"/>
      <c r="G249" s="64"/>
      <c r="H249" s="85"/>
      <c r="I249" s="67"/>
      <c r="J249" s="71"/>
      <c r="K249" s="84">
        <f t="shared" si="30"/>
        <v>0</v>
      </c>
      <c r="L249" s="67">
        <f t="shared" si="31"/>
        <v>0</v>
      </c>
    </row>
    <row r="250" spans="1:12" hidden="1" outlineLevel="1" x14ac:dyDescent="0.35">
      <c r="A250" s="93" t="s">
        <v>433</v>
      </c>
      <c r="B250" s="144" t="s">
        <v>434</v>
      </c>
      <c r="C250" s="26" t="s">
        <v>903</v>
      </c>
      <c r="D250" s="85"/>
      <c r="E250" s="63"/>
      <c r="F250" s="83"/>
      <c r="G250" s="64"/>
      <c r="H250" s="85"/>
      <c r="I250" s="67"/>
      <c r="J250" s="71"/>
      <c r="K250" s="84">
        <f t="shared" si="30"/>
        <v>0</v>
      </c>
      <c r="L250" s="67">
        <f t="shared" si="31"/>
        <v>0</v>
      </c>
    </row>
    <row r="251" spans="1:12" hidden="1" outlineLevel="1" x14ac:dyDescent="0.35">
      <c r="A251" s="93" t="s">
        <v>435</v>
      </c>
      <c r="B251" s="144" t="s">
        <v>436</v>
      </c>
      <c r="C251" s="26" t="s">
        <v>903</v>
      </c>
      <c r="D251" s="85"/>
      <c r="E251" s="63"/>
      <c r="F251" s="83"/>
      <c r="G251" s="64"/>
      <c r="H251" s="85"/>
      <c r="I251" s="67"/>
      <c r="J251" s="71"/>
      <c r="K251" s="84">
        <f t="shared" si="30"/>
        <v>0</v>
      </c>
      <c r="L251" s="67">
        <f t="shared" si="31"/>
        <v>0</v>
      </c>
    </row>
    <row r="252" spans="1:12" hidden="1" outlineLevel="1" x14ac:dyDescent="0.35">
      <c r="A252" s="93" t="s">
        <v>437</v>
      </c>
      <c r="B252" s="144" t="s">
        <v>438</v>
      </c>
      <c r="C252" s="26" t="s">
        <v>903</v>
      </c>
      <c r="D252" s="85"/>
      <c r="E252" s="63"/>
      <c r="F252" s="83"/>
      <c r="G252" s="64"/>
      <c r="H252" s="85"/>
      <c r="I252" s="67"/>
      <c r="J252" s="71"/>
      <c r="K252" s="84">
        <f t="shared" si="30"/>
        <v>0</v>
      </c>
      <c r="L252" s="67">
        <f t="shared" si="31"/>
        <v>0</v>
      </c>
    </row>
    <row r="253" spans="1:12" hidden="1" outlineLevel="1" x14ac:dyDescent="0.35">
      <c r="A253" s="93" t="s">
        <v>439</v>
      </c>
      <c r="B253" s="144" t="s">
        <v>440</v>
      </c>
      <c r="C253" s="26" t="s">
        <v>903</v>
      </c>
      <c r="D253" s="85"/>
      <c r="E253" s="63"/>
      <c r="F253" s="83"/>
      <c r="G253" s="64"/>
      <c r="H253" s="85"/>
      <c r="I253" s="67"/>
      <c r="J253" s="71"/>
      <c r="K253" s="84">
        <f t="shared" si="30"/>
        <v>0</v>
      </c>
      <c r="L253" s="67">
        <f t="shared" si="31"/>
        <v>0</v>
      </c>
    </row>
    <row r="254" spans="1:12" hidden="1" outlineLevel="1" x14ac:dyDescent="0.35">
      <c r="A254" s="93" t="s">
        <v>441</v>
      </c>
      <c r="B254" s="144" t="s">
        <v>442</v>
      </c>
      <c r="C254" s="26" t="s">
        <v>903</v>
      </c>
      <c r="D254" s="85"/>
      <c r="E254" s="63"/>
      <c r="F254" s="83"/>
      <c r="G254" s="64">
        <v>47997</v>
      </c>
      <c r="H254" s="85">
        <v>96003</v>
      </c>
      <c r="I254" s="67"/>
      <c r="J254" s="71"/>
      <c r="K254" s="84">
        <f t="shared" si="30"/>
        <v>0</v>
      </c>
      <c r="L254" s="67">
        <f t="shared" si="31"/>
        <v>144000</v>
      </c>
    </row>
    <row r="255" spans="1:12" hidden="1" outlineLevel="1" x14ac:dyDescent="0.35">
      <c r="A255" s="93" t="s">
        <v>464</v>
      </c>
      <c r="B255" s="144" t="s">
        <v>465</v>
      </c>
      <c r="C255" s="26" t="s">
        <v>903</v>
      </c>
      <c r="D255" s="85"/>
      <c r="E255" s="63"/>
      <c r="F255" s="83"/>
      <c r="G255" s="64">
        <f>50000+77500</f>
        <v>127500</v>
      </c>
      <c r="H255" s="85"/>
      <c r="I255" s="67"/>
      <c r="J255" s="71"/>
      <c r="K255" s="84">
        <f t="shared" si="30"/>
        <v>0</v>
      </c>
      <c r="L255" s="67">
        <f t="shared" si="31"/>
        <v>127500</v>
      </c>
    </row>
    <row r="256" spans="1:12" collapsed="1" x14ac:dyDescent="0.35">
      <c r="A256" s="93"/>
      <c r="B256" s="144" t="s">
        <v>914</v>
      </c>
      <c r="C256" s="26"/>
      <c r="D256" s="85">
        <f t="shared" ref="D256:I256" si="32">SUM(D257:D291)</f>
        <v>1322249.1943537267</v>
      </c>
      <c r="E256" s="65">
        <f t="shared" si="32"/>
        <v>658579.75215908268</v>
      </c>
      <c r="F256" s="85">
        <f t="shared" si="32"/>
        <v>2582751.0643007476</v>
      </c>
      <c r="G256" s="65">
        <f t="shared" si="32"/>
        <v>2049759.4360258365</v>
      </c>
      <c r="H256" s="85">
        <f t="shared" si="32"/>
        <v>1506995.5531606067</v>
      </c>
      <c r="I256" s="65">
        <f t="shared" si="32"/>
        <v>1368208</v>
      </c>
      <c r="J256" s="71">
        <f>J270+J265+J271</f>
        <v>4201825</v>
      </c>
      <c r="K256" s="84">
        <f t="shared" si="30"/>
        <v>5570033</v>
      </c>
      <c r="L256" s="67">
        <f t="shared" si="31"/>
        <v>13690367.999999998</v>
      </c>
    </row>
    <row r="257" spans="1:12" hidden="1" outlineLevel="1" x14ac:dyDescent="0.35">
      <c r="A257" s="93" t="s">
        <v>443</v>
      </c>
      <c r="B257" s="144" t="s">
        <v>444</v>
      </c>
      <c r="C257" s="26" t="s">
        <v>914</v>
      </c>
      <c r="D257" s="85">
        <v>1544</v>
      </c>
      <c r="E257" s="63">
        <v>131872</v>
      </c>
      <c r="F257" s="83">
        <v>1837094</v>
      </c>
      <c r="G257" s="64">
        <v>722803</v>
      </c>
      <c r="H257" s="89">
        <f>40900+297478+629976+365244</f>
        <v>1333598</v>
      </c>
      <c r="I257" s="67">
        <f>728947+430352+208904-88903</f>
        <v>1279300</v>
      </c>
      <c r="J257" s="71"/>
      <c r="K257" s="84">
        <f t="shared" si="30"/>
        <v>1279300</v>
      </c>
      <c r="L257" s="67">
        <f t="shared" si="31"/>
        <v>5306211</v>
      </c>
    </row>
    <row r="258" spans="1:12" ht="15.75" hidden="1" customHeight="1" outlineLevel="1" x14ac:dyDescent="0.35">
      <c r="A258" s="99" t="s">
        <v>445</v>
      </c>
      <c r="B258" s="144" t="s">
        <v>446</v>
      </c>
      <c r="C258" s="26" t="s">
        <v>914</v>
      </c>
      <c r="D258" s="85">
        <v>1175440</v>
      </c>
      <c r="E258" s="63"/>
      <c r="F258" s="83"/>
      <c r="G258" s="64"/>
      <c r="H258" s="85"/>
      <c r="I258" s="67"/>
      <c r="J258" s="71"/>
      <c r="K258" s="84">
        <f t="shared" si="30"/>
        <v>0</v>
      </c>
      <c r="L258" s="67">
        <f t="shared" si="31"/>
        <v>1175440</v>
      </c>
    </row>
    <row r="259" spans="1:12" ht="15.75" hidden="1" customHeight="1" outlineLevel="1" x14ac:dyDescent="0.35">
      <c r="A259" s="93" t="s">
        <v>447</v>
      </c>
      <c r="B259" s="146" t="s">
        <v>448</v>
      </c>
      <c r="C259" s="26" t="s">
        <v>914</v>
      </c>
      <c r="D259" s="85"/>
      <c r="E259" s="63">
        <v>17200</v>
      </c>
      <c r="F259" s="83">
        <v>19200</v>
      </c>
      <c r="G259" s="64">
        <v>92426</v>
      </c>
      <c r="H259" s="85"/>
      <c r="I259" s="67">
        <v>5879</v>
      </c>
      <c r="J259" s="71"/>
      <c r="K259" s="84">
        <f t="shared" si="30"/>
        <v>5879</v>
      </c>
      <c r="L259" s="67">
        <f t="shared" si="31"/>
        <v>134705</v>
      </c>
    </row>
    <row r="260" spans="1:12" hidden="1" outlineLevel="1" x14ac:dyDescent="0.35">
      <c r="A260" s="93" t="s">
        <v>449</v>
      </c>
      <c r="B260" s="144" t="s">
        <v>450</v>
      </c>
      <c r="C260" s="26" t="s">
        <v>914</v>
      </c>
      <c r="D260" s="85"/>
      <c r="E260" s="63"/>
      <c r="F260" s="83"/>
      <c r="G260" s="64">
        <v>21000</v>
      </c>
      <c r="H260" s="85"/>
      <c r="I260" s="67"/>
      <c r="J260" s="71"/>
      <c r="K260" s="84">
        <f t="shared" si="30"/>
        <v>0</v>
      </c>
      <c r="L260" s="67">
        <f t="shared" si="31"/>
        <v>21000</v>
      </c>
    </row>
    <row r="261" spans="1:12" hidden="1" outlineLevel="1" x14ac:dyDescent="0.35">
      <c r="A261" s="93" t="s">
        <v>451</v>
      </c>
      <c r="B261" s="144" t="s">
        <v>452</v>
      </c>
      <c r="C261" s="26" t="s">
        <v>914</v>
      </c>
      <c r="D261" s="85">
        <v>6455</v>
      </c>
      <c r="E261" s="63">
        <v>43957</v>
      </c>
      <c r="F261" s="83"/>
      <c r="G261" s="64">
        <v>15014</v>
      </c>
      <c r="H261" s="85"/>
      <c r="I261" s="67"/>
      <c r="J261" s="71"/>
      <c r="K261" s="84">
        <f t="shared" si="30"/>
        <v>0</v>
      </c>
      <c r="L261" s="67">
        <f t="shared" si="31"/>
        <v>65426</v>
      </c>
    </row>
    <row r="262" spans="1:12" hidden="1" outlineLevel="1" x14ac:dyDescent="0.35">
      <c r="A262" s="93" t="s">
        <v>453</v>
      </c>
      <c r="B262" s="144" t="s">
        <v>454</v>
      </c>
      <c r="C262" s="26" t="s">
        <v>914</v>
      </c>
      <c r="D262" s="85"/>
      <c r="E262" s="63">
        <v>30267</v>
      </c>
      <c r="F262" s="83">
        <v>20716</v>
      </c>
      <c r="G262" s="64"/>
      <c r="H262" s="85"/>
      <c r="I262" s="67"/>
      <c r="J262" s="71"/>
      <c r="K262" s="84">
        <f t="shared" si="30"/>
        <v>0</v>
      </c>
      <c r="L262" s="67">
        <f t="shared" si="31"/>
        <v>50983</v>
      </c>
    </row>
    <row r="263" spans="1:12" hidden="1" outlineLevel="1" x14ac:dyDescent="0.35">
      <c r="A263" s="93" t="s">
        <v>915</v>
      </c>
      <c r="B263" s="144" t="s">
        <v>455</v>
      </c>
      <c r="C263" s="26" t="s">
        <v>914</v>
      </c>
      <c r="D263" s="85"/>
      <c r="E263" s="63"/>
      <c r="F263" s="83"/>
      <c r="G263" s="64"/>
      <c r="H263" s="85"/>
      <c r="I263" s="67"/>
      <c r="J263" s="71"/>
      <c r="K263" s="84">
        <f t="shared" si="30"/>
        <v>0</v>
      </c>
      <c r="L263" s="67">
        <f t="shared" si="31"/>
        <v>0</v>
      </c>
    </row>
    <row r="264" spans="1:12" hidden="1" outlineLevel="1" x14ac:dyDescent="0.35">
      <c r="A264" s="93" t="s">
        <v>456</v>
      </c>
      <c r="B264" s="144" t="s">
        <v>457</v>
      </c>
      <c r="C264" s="26" t="s">
        <v>914</v>
      </c>
      <c r="D264" s="85"/>
      <c r="E264" s="63">
        <v>13480</v>
      </c>
      <c r="F264" s="83"/>
      <c r="G264" s="64"/>
      <c r="H264" s="85"/>
      <c r="I264" s="67"/>
      <c r="J264" s="71"/>
      <c r="K264" s="84">
        <f t="shared" si="30"/>
        <v>0</v>
      </c>
      <c r="L264" s="67">
        <f>K264+D264+E264+F264+G264+H264</f>
        <v>13480</v>
      </c>
    </row>
    <row r="265" spans="1:12" hidden="1" outlineLevel="1" x14ac:dyDescent="0.35">
      <c r="A265" s="93"/>
      <c r="B265" s="117" t="s">
        <v>1302</v>
      </c>
      <c r="C265" s="118"/>
      <c r="D265" s="119"/>
      <c r="E265" s="119"/>
      <c r="F265" s="119">
        <v>-310751</v>
      </c>
      <c r="G265" s="119">
        <f>-30000-72996-75400-567-74563-57774-289</f>
        <v>-311589</v>
      </c>
      <c r="H265" s="119">
        <v>-164185</v>
      </c>
      <c r="I265" s="120">
        <v>0</v>
      </c>
      <c r="J265" s="128">
        <f>-(F265+G265+H265)</f>
        <v>786525</v>
      </c>
      <c r="K265" s="133">
        <f>+J265+I265</f>
        <v>786525</v>
      </c>
      <c r="L265" s="129">
        <f>+K265+H265+G265+F265+E265+D265</f>
        <v>0</v>
      </c>
    </row>
    <row r="266" spans="1:12" hidden="1" outlineLevel="1" x14ac:dyDescent="0.35">
      <c r="A266" s="93"/>
      <c r="B266" s="117" t="s">
        <v>1303</v>
      </c>
      <c r="C266" s="118"/>
      <c r="D266" s="119"/>
      <c r="E266" s="121"/>
      <c r="F266" s="122"/>
      <c r="G266" s="123"/>
      <c r="H266" s="119"/>
      <c r="I266" s="124">
        <v>0</v>
      </c>
      <c r="J266" s="128"/>
      <c r="K266" s="133">
        <f>+J266+I266</f>
        <v>0</v>
      </c>
      <c r="L266" s="129">
        <f>+K266+H266+G266+F266+E266+D266</f>
        <v>0</v>
      </c>
    </row>
    <row r="267" spans="1:12" hidden="1" outlineLevel="1" x14ac:dyDescent="0.35">
      <c r="A267" s="93" t="s">
        <v>458</v>
      </c>
      <c r="B267" s="144" t="s">
        <v>459</v>
      </c>
      <c r="C267" s="26" t="s">
        <v>914</v>
      </c>
      <c r="D267" s="85">
        <v>210904</v>
      </c>
      <c r="E267" s="63">
        <v>534589</v>
      </c>
      <c r="F267" s="83">
        <v>2066050</v>
      </c>
      <c r="G267" s="64">
        <v>1431665</v>
      </c>
      <c r="H267" s="85">
        <v>1128554</v>
      </c>
      <c r="I267" s="67"/>
      <c r="J267" s="71"/>
      <c r="K267" s="84">
        <f t="shared" si="30"/>
        <v>0</v>
      </c>
      <c r="L267" s="67">
        <f>K267+D267+E267+F267+G267+H267</f>
        <v>5371762</v>
      </c>
    </row>
    <row r="268" spans="1:12" hidden="1" outlineLevel="1" x14ac:dyDescent="0.35">
      <c r="A268" s="93" t="s">
        <v>460</v>
      </c>
      <c r="B268" s="144" t="s">
        <v>461</v>
      </c>
      <c r="C268" s="26" t="s">
        <v>914</v>
      </c>
      <c r="D268" s="85"/>
      <c r="E268" s="65"/>
      <c r="F268" s="83"/>
      <c r="G268" s="64"/>
      <c r="H268" s="85"/>
      <c r="I268" s="67"/>
      <c r="J268" s="71"/>
      <c r="K268" s="84">
        <f t="shared" si="30"/>
        <v>0</v>
      </c>
      <c r="L268" s="67">
        <f>K268+D268+E268+F268+G268+H268</f>
        <v>0</v>
      </c>
    </row>
    <row r="269" spans="1:12" hidden="1" outlineLevel="1" x14ac:dyDescent="0.35">
      <c r="A269" s="93" t="s">
        <v>462</v>
      </c>
      <c r="B269" s="144" t="s">
        <v>916</v>
      </c>
      <c r="C269" s="26" t="s">
        <v>914</v>
      </c>
      <c r="D269" s="85"/>
      <c r="E269" s="63"/>
      <c r="F269" s="83"/>
      <c r="G269" s="64"/>
      <c r="H269" s="85"/>
      <c r="I269" s="67"/>
      <c r="J269" s="71"/>
      <c r="K269" s="84">
        <f t="shared" si="30"/>
        <v>0</v>
      </c>
      <c r="L269" s="67">
        <f>K269+D269+E269+F269+G269+H269</f>
        <v>0</v>
      </c>
    </row>
    <row r="270" spans="1:12" hidden="1" outlineLevel="1" x14ac:dyDescent="0.35">
      <c r="A270" s="93"/>
      <c r="B270" s="117" t="s">
        <v>1295</v>
      </c>
      <c r="C270" s="118"/>
      <c r="D270" s="119">
        <f>-D267</f>
        <v>-210904</v>
      </c>
      <c r="E270" s="119">
        <f>-E267</f>
        <v>-534589</v>
      </c>
      <c r="F270" s="119">
        <f>-F267</f>
        <v>-2066050</v>
      </c>
      <c r="G270" s="119">
        <f>-G267+G405</f>
        <v>-1025203</v>
      </c>
      <c r="H270" s="119">
        <f>-H267</f>
        <v>-1128554</v>
      </c>
      <c r="I270" s="120">
        <v>0</v>
      </c>
      <c r="J270" s="128">
        <f>-(H270+G270+F270+E270+D270)</f>
        <v>4965300</v>
      </c>
      <c r="K270" s="133">
        <f>+J270+I270</f>
        <v>4965300</v>
      </c>
      <c r="L270" s="129">
        <f>+K270+H270+G270+F270+E270+D270</f>
        <v>0</v>
      </c>
    </row>
    <row r="271" spans="1:12" hidden="1" outlineLevel="1" x14ac:dyDescent="0.35">
      <c r="A271" s="93"/>
      <c r="B271" s="117" t="s">
        <v>1304</v>
      </c>
      <c r="C271" s="118"/>
      <c r="D271" s="119">
        <f>-J271*Medlemmer!B9</f>
        <v>76718.194353726692</v>
      </c>
      <c r="E271" s="121">
        <f>-J271*Medlemmer!C9</f>
        <v>171884.75215908265</v>
      </c>
      <c r="F271" s="122">
        <f>-J271*Medlemmer!D9</f>
        <v>664366.06430074747</v>
      </c>
      <c r="G271" s="123">
        <f>-J271*Medlemmer!E9</f>
        <v>299448.43602583645</v>
      </c>
      <c r="H271" s="173">
        <f>-J271*Medlemmer!F9</f>
        <v>337582.55316060671</v>
      </c>
      <c r="I271" s="124">
        <v>0</v>
      </c>
      <c r="J271" s="128">
        <v>-1550000</v>
      </c>
      <c r="K271" s="133">
        <f>+J271+I271</f>
        <v>-1550000</v>
      </c>
      <c r="L271" s="129">
        <f>+K271+H271+G271+F271+E271+D271</f>
        <v>0</v>
      </c>
    </row>
    <row r="272" spans="1:12" hidden="1" outlineLevel="1" x14ac:dyDescent="0.35">
      <c r="A272" s="93" t="s">
        <v>466</v>
      </c>
      <c r="B272" s="144" t="s">
        <v>467</v>
      </c>
      <c r="C272" s="26" t="s">
        <v>914</v>
      </c>
      <c r="D272" s="85"/>
      <c r="E272" s="63">
        <v>5432</v>
      </c>
      <c r="F272" s="83"/>
      <c r="G272" s="64">
        <v>17150</v>
      </c>
      <c r="H272" s="85"/>
      <c r="I272" s="67"/>
      <c r="J272" s="71"/>
      <c r="K272" s="84">
        <f t="shared" si="30"/>
        <v>0</v>
      </c>
      <c r="L272" s="67">
        <f>K272+D272+E272+F272+G272+H272</f>
        <v>22582</v>
      </c>
    </row>
    <row r="273" spans="1:12" hidden="1" outlineLevel="1" x14ac:dyDescent="0.35">
      <c r="A273" s="93" t="s">
        <v>468</v>
      </c>
      <c r="B273" s="144" t="s">
        <v>469</v>
      </c>
      <c r="C273" s="26" t="s">
        <v>914</v>
      </c>
      <c r="D273" s="85">
        <v>6622</v>
      </c>
      <c r="E273" s="63"/>
      <c r="F273" s="83"/>
      <c r="G273" s="64"/>
      <c r="H273" s="85"/>
      <c r="I273" s="67"/>
      <c r="J273" s="71"/>
      <c r="K273" s="84">
        <f t="shared" si="30"/>
        <v>0</v>
      </c>
      <c r="L273" s="67">
        <f>K273+D273+E273+F273+G273+H273</f>
        <v>6622</v>
      </c>
    </row>
    <row r="274" spans="1:12" hidden="1" outlineLevel="1" x14ac:dyDescent="0.35">
      <c r="A274" s="93" t="s">
        <v>470</v>
      </c>
      <c r="B274" s="144" t="s">
        <v>471</v>
      </c>
      <c r="C274" s="26" t="s">
        <v>914</v>
      </c>
      <c r="D274" s="85"/>
      <c r="E274" s="63"/>
      <c r="F274" s="83"/>
      <c r="G274" s="64"/>
      <c r="H274" s="85"/>
      <c r="I274" s="67"/>
      <c r="J274" s="71"/>
      <c r="K274" s="84">
        <f t="shared" ref="K274:K337" si="33">J274+I274</f>
        <v>0</v>
      </c>
      <c r="L274" s="67">
        <f t="shared" ref="L274:L337" si="34">K274+D274+E274+F274+G274+H274</f>
        <v>0</v>
      </c>
    </row>
    <row r="275" spans="1:12" hidden="1" outlineLevel="1" x14ac:dyDescent="0.35">
      <c r="A275" s="93" t="s">
        <v>472</v>
      </c>
      <c r="B275" s="144" t="s">
        <v>473</v>
      </c>
      <c r="C275" s="26" t="s">
        <v>914</v>
      </c>
      <c r="D275" s="85"/>
      <c r="E275" s="63"/>
      <c r="F275" s="83"/>
      <c r="G275" s="64"/>
      <c r="H275" s="85"/>
      <c r="I275" s="67"/>
      <c r="J275" s="71"/>
      <c r="K275" s="84">
        <f t="shared" si="33"/>
        <v>0</v>
      </c>
      <c r="L275" s="67">
        <f t="shared" si="34"/>
        <v>0</v>
      </c>
    </row>
    <row r="276" spans="1:12" hidden="1" outlineLevel="1" x14ac:dyDescent="0.35">
      <c r="A276" s="93" t="s">
        <v>474</v>
      </c>
      <c r="B276" s="144" t="s">
        <v>475</v>
      </c>
      <c r="C276" s="26" t="s">
        <v>914</v>
      </c>
      <c r="D276" s="85"/>
      <c r="E276" s="63">
        <v>79550</v>
      </c>
      <c r="F276" s="83"/>
      <c r="G276" s="64"/>
      <c r="H276" s="85"/>
      <c r="I276" s="67"/>
      <c r="J276" s="71"/>
      <c r="K276" s="84">
        <f t="shared" si="33"/>
        <v>0</v>
      </c>
      <c r="L276" s="67">
        <f t="shared" si="34"/>
        <v>79550</v>
      </c>
    </row>
    <row r="277" spans="1:12" hidden="1" outlineLevel="1" x14ac:dyDescent="0.35">
      <c r="A277" s="93" t="s">
        <v>476</v>
      </c>
      <c r="B277" s="144" t="s">
        <v>477</v>
      </c>
      <c r="C277" s="26" t="s">
        <v>914</v>
      </c>
      <c r="D277" s="85"/>
      <c r="E277" s="63"/>
      <c r="F277" s="83"/>
      <c r="G277" s="64"/>
      <c r="H277" s="85"/>
      <c r="I277" s="67"/>
      <c r="J277" s="71"/>
      <c r="K277" s="84">
        <f t="shared" si="33"/>
        <v>0</v>
      </c>
      <c r="L277" s="67">
        <f t="shared" si="34"/>
        <v>0</v>
      </c>
    </row>
    <row r="278" spans="1:12" hidden="1" outlineLevel="1" x14ac:dyDescent="0.35">
      <c r="A278" s="93" t="s">
        <v>478</v>
      </c>
      <c r="B278" s="144" t="s">
        <v>479</v>
      </c>
      <c r="C278" s="26" t="s">
        <v>914</v>
      </c>
      <c r="D278" s="85">
        <v>11273</v>
      </c>
      <c r="E278" s="63">
        <v>69285</v>
      </c>
      <c r="F278" s="83"/>
      <c r="G278" s="64">
        <v>616739</v>
      </c>
      <c r="H278" s="85"/>
      <c r="I278" s="67">
        <v>83029</v>
      </c>
      <c r="J278" s="71"/>
      <c r="K278" s="84">
        <f t="shared" si="33"/>
        <v>83029</v>
      </c>
      <c r="L278" s="67">
        <f t="shared" si="34"/>
        <v>780326</v>
      </c>
    </row>
    <row r="279" spans="1:12" hidden="1" outlineLevel="1" x14ac:dyDescent="0.35">
      <c r="A279" s="93" t="s">
        <v>480</v>
      </c>
      <c r="B279" s="144" t="s">
        <v>481</v>
      </c>
      <c r="C279" s="26" t="s">
        <v>914</v>
      </c>
      <c r="D279" s="85"/>
      <c r="E279" s="63"/>
      <c r="F279" s="83"/>
      <c r="G279" s="64"/>
      <c r="H279" s="85"/>
      <c r="I279" s="67"/>
      <c r="J279" s="71"/>
      <c r="K279" s="84">
        <f t="shared" si="33"/>
        <v>0</v>
      </c>
      <c r="L279" s="67">
        <f t="shared" si="34"/>
        <v>0</v>
      </c>
    </row>
    <row r="280" spans="1:12" hidden="1" outlineLevel="1" x14ac:dyDescent="0.35">
      <c r="A280" s="93" t="s">
        <v>482</v>
      </c>
      <c r="B280" s="144" t="s">
        <v>483</v>
      </c>
      <c r="C280" s="26" t="s">
        <v>914</v>
      </c>
      <c r="D280" s="85"/>
      <c r="E280" s="63"/>
      <c r="F280" s="83"/>
      <c r="G280" s="64"/>
      <c r="H280" s="85"/>
      <c r="I280" s="67"/>
      <c r="J280" s="71"/>
      <c r="K280" s="84">
        <f t="shared" si="33"/>
        <v>0</v>
      </c>
      <c r="L280" s="67">
        <f t="shared" si="34"/>
        <v>0</v>
      </c>
    </row>
    <row r="281" spans="1:12" hidden="1" outlineLevel="1" x14ac:dyDescent="0.35">
      <c r="A281" s="93" t="s">
        <v>484</v>
      </c>
      <c r="B281" s="144" t="s">
        <v>485</v>
      </c>
      <c r="C281" s="26" t="s">
        <v>914</v>
      </c>
      <c r="D281" s="85"/>
      <c r="E281" s="63"/>
      <c r="F281" s="83"/>
      <c r="G281" s="64">
        <v>500</v>
      </c>
      <c r="H281" s="85"/>
      <c r="I281" s="67"/>
      <c r="J281" s="71"/>
      <c r="K281" s="84">
        <f t="shared" si="33"/>
        <v>0</v>
      </c>
      <c r="L281" s="67">
        <f t="shared" si="34"/>
        <v>500</v>
      </c>
    </row>
    <row r="282" spans="1:12" hidden="1" outlineLevel="1" x14ac:dyDescent="0.35">
      <c r="A282" s="93" t="s">
        <v>486</v>
      </c>
      <c r="B282" s="144" t="s">
        <v>487</v>
      </c>
      <c r="C282" s="26" t="s">
        <v>914</v>
      </c>
      <c r="D282" s="85"/>
      <c r="E282" s="63"/>
      <c r="F282" s="83"/>
      <c r="G282" s="64"/>
      <c r="H282" s="85"/>
      <c r="I282" s="67"/>
      <c r="J282" s="71"/>
      <c r="K282" s="84">
        <f t="shared" si="33"/>
        <v>0</v>
      </c>
      <c r="L282" s="67">
        <f t="shared" si="34"/>
        <v>0</v>
      </c>
    </row>
    <row r="283" spans="1:12" hidden="1" outlineLevel="1" x14ac:dyDescent="0.35">
      <c r="A283" s="93" t="s">
        <v>488</v>
      </c>
      <c r="B283" s="144" t="s">
        <v>489</v>
      </c>
      <c r="C283" s="26" t="s">
        <v>914</v>
      </c>
      <c r="D283" s="85"/>
      <c r="E283" s="63"/>
      <c r="F283" s="83"/>
      <c r="G283" s="64"/>
      <c r="H283" s="85"/>
      <c r="I283" s="67"/>
      <c r="J283" s="71"/>
      <c r="K283" s="84">
        <f t="shared" si="33"/>
        <v>0</v>
      </c>
      <c r="L283" s="67">
        <f t="shared" si="34"/>
        <v>0</v>
      </c>
    </row>
    <row r="284" spans="1:12" hidden="1" outlineLevel="1" x14ac:dyDescent="0.35">
      <c r="A284" s="93" t="s">
        <v>490</v>
      </c>
      <c r="B284" s="144" t="s">
        <v>491</v>
      </c>
      <c r="C284" s="26" t="s">
        <v>914</v>
      </c>
      <c r="D284" s="85"/>
      <c r="E284" s="63"/>
      <c r="F284" s="83"/>
      <c r="G284" s="64">
        <v>-88</v>
      </c>
      <c r="H284" s="85"/>
      <c r="I284" s="67"/>
      <c r="J284" s="71"/>
      <c r="K284" s="84">
        <f t="shared" si="33"/>
        <v>0</v>
      </c>
      <c r="L284" s="67">
        <f t="shared" si="34"/>
        <v>-88</v>
      </c>
    </row>
    <row r="285" spans="1:12" hidden="1" outlineLevel="1" x14ac:dyDescent="0.35">
      <c r="A285" s="93" t="s">
        <v>492</v>
      </c>
      <c r="B285" s="144" t="s">
        <v>493</v>
      </c>
      <c r="C285" s="26" t="s">
        <v>914</v>
      </c>
      <c r="D285" s="85"/>
      <c r="E285" s="63"/>
      <c r="F285" s="83"/>
      <c r="G285" s="64"/>
      <c r="H285" s="85"/>
      <c r="I285" s="67"/>
      <c r="J285" s="71"/>
      <c r="K285" s="84">
        <f t="shared" si="33"/>
        <v>0</v>
      </c>
      <c r="L285" s="67">
        <f t="shared" si="34"/>
        <v>0</v>
      </c>
    </row>
    <row r="286" spans="1:12" hidden="1" outlineLevel="1" x14ac:dyDescent="0.35">
      <c r="A286" s="93" t="s">
        <v>917</v>
      </c>
      <c r="B286" s="144" t="s">
        <v>918</v>
      </c>
      <c r="C286" s="26" t="s">
        <v>914</v>
      </c>
      <c r="D286" s="85"/>
      <c r="E286" s="63"/>
      <c r="F286" s="83"/>
      <c r="G286" s="64"/>
      <c r="H286" s="85"/>
      <c r="I286" s="67"/>
      <c r="J286" s="71"/>
      <c r="K286" s="84">
        <f t="shared" si="33"/>
        <v>0</v>
      </c>
      <c r="L286" s="67">
        <f t="shared" si="34"/>
        <v>0</v>
      </c>
    </row>
    <row r="287" spans="1:12" hidden="1" outlineLevel="1" x14ac:dyDescent="0.35">
      <c r="A287" s="93" t="s">
        <v>494</v>
      </c>
      <c r="B287" s="144" t="s">
        <v>495</v>
      </c>
      <c r="C287" s="26" t="s">
        <v>914</v>
      </c>
      <c r="D287" s="85">
        <v>44197</v>
      </c>
      <c r="E287" s="63"/>
      <c r="F287" s="83">
        <v>352126</v>
      </c>
      <c r="G287" s="64">
        <v>169894</v>
      </c>
      <c r="H287" s="85"/>
      <c r="I287" s="67"/>
      <c r="J287" s="71"/>
      <c r="K287" s="84">
        <f t="shared" si="33"/>
        <v>0</v>
      </c>
      <c r="L287" s="67">
        <f t="shared" si="34"/>
        <v>566217</v>
      </c>
    </row>
    <row r="288" spans="1:12" hidden="1" outlineLevel="1" x14ac:dyDescent="0.35">
      <c r="A288" s="93" t="s">
        <v>496</v>
      </c>
      <c r="B288" s="144" t="s">
        <v>497</v>
      </c>
      <c r="C288" s="26" t="s">
        <v>914</v>
      </c>
      <c r="D288" s="85"/>
      <c r="E288" s="63"/>
      <c r="F288" s="83"/>
      <c r="G288" s="64"/>
      <c r="H288" s="85"/>
      <c r="I288" s="67"/>
      <c r="J288" s="71"/>
      <c r="K288" s="84">
        <f t="shared" si="33"/>
        <v>0</v>
      </c>
      <c r="L288" s="67">
        <f t="shared" si="34"/>
        <v>0</v>
      </c>
    </row>
    <row r="289" spans="1:12" hidden="1" outlineLevel="1" x14ac:dyDescent="0.35">
      <c r="A289" s="93" t="s">
        <v>498</v>
      </c>
      <c r="B289" s="144" t="s">
        <v>499</v>
      </c>
      <c r="C289" s="26" t="s">
        <v>914</v>
      </c>
      <c r="D289" s="85"/>
      <c r="E289" s="63">
        <v>95652</v>
      </c>
      <c r="F289" s="83"/>
      <c r="G289" s="64"/>
      <c r="H289" s="85"/>
      <c r="I289" s="67"/>
      <c r="J289" s="71"/>
      <c r="K289" s="84">
        <f t="shared" si="33"/>
        <v>0</v>
      </c>
      <c r="L289" s="67">
        <f t="shared" si="34"/>
        <v>95652</v>
      </c>
    </row>
    <row r="290" spans="1:12" hidden="1" outlineLevel="1" x14ac:dyDescent="0.35">
      <c r="A290" s="93" t="s">
        <v>500</v>
      </c>
      <c r="B290" s="144" t="s">
        <v>501</v>
      </c>
      <c r="C290" s="26" t="s">
        <v>914</v>
      </c>
      <c r="D290" s="85"/>
      <c r="E290" s="63"/>
      <c r="F290" s="83"/>
      <c r="G290" s="64"/>
      <c r="H290" s="85"/>
      <c r="I290" s="67"/>
      <c r="J290" s="71"/>
      <c r="K290" s="84">
        <f t="shared" si="33"/>
        <v>0</v>
      </c>
      <c r="L290" s="67">
        <f t="shared" si="34"/>
        <v>0</v>
      </c>
    </row>
    <row r="291" spans="1:12" hidden="1" outlineLevel="1" x14ac:dyDescent="0.35">
      <c r="A291" s="93" t="s">
        <v>502</v>
      </c>
      <c r="B291" s="144" t="s">
        <v>503</v>
      </c>
      <c r="C291" s="26" t="s">
        <v>914</v>
      </c>
      <c r="D291" s="85"/>
      <c r="E291" s="63"/>
      <c r="F291" s="83"/>
      <c r="G291" s="64"/>
      <c r="H291" s="85"/>
      <c r="I291" s="67"/>
      <c r="J291" s="71"/>
      <c r="K291" s="84">
        <f t="shared" si="33"/>
        <v>0</v>
      </c>
      <c r="L291" s="67">
        <f t="shared" si="34"/>
        <v>0</v>
      </c>
    </row>
    <row r="292" spans="1:12" s="12" customFormat="1" x14ac:dyDescent="0.35">
      <c r="A292" s="101"/>
      <c r="B292" s="149" t="s">
        <v>1289</v>
      </c>
      <c r="C292" s="35"/>
      <c r="D292" s="88">
        <f t="shared" ref="D292:K292" si="35">D194+D256</f>
        <v>1411165.1943537267</v>
      </c>
      <c r="E292" s="76">
        <f t="shared" si="35"/>
        <v>1082906.7521590828</v>
      </c>
      <c r="F292" s="88">
        <f t="shared" si="35"/>
        <v>3415518.0643007476</v>
      </c>
      <c r="G292" s="76">
        <f t="shared" si="35"/>
        <v>2994860.4360258365</v>
      </c>
      <c r="H292" s="88">
        <f t="shared" si="35"/>
        <v>2501879.5531606069</v>
      </c>
      <c r="I292" s="76">
        <f t="shared" si="35"/>
        <v>1555941</v>
      </c>
      <c r="J292" s="76"/>
      <c r="K292" s="88">
        <f t="shared" si="35"/>
        <v>5757766</v>
      </c>
      <c r="L292" s="111">
        <f t="shared" si="34"/>
        <v>17164096</v>
      </c>
    </row>
    <row r="293" spans="1:12" collapsed="1" x14ac:dyDescent="0.35">
      <c r="A293" s="93"/>
      <c r="B293" s="146" t="s">
        <v>920</v>
      </c>
      <c r="C293" s="26"/>
      <c r="D293" s="85">
        <f t="shared" ref="D293:I293" si="36">SUM(D294:D337)</f>
        <v>67313</v>
      </c>
      <c r="E293" s="65">
        <f t="shared" si="36"/>
        <v>198363</v>
      </c>
      <c r="F293" s="85">
        <f t="shared" si="36"/>
        <v>691859</v>
      </c>
      <c r="G293" s="65">
        <f t="shared" si="36"/>
        <v>260737</v>
      </c>
      <c r="H293" s="85">
        <f t="shared" si="36"/>
        <v>461438</v>
      </c>
      <c r="I293" s="65">
        <f t="shared" si="36"/>
        <v>521688</v>
      </c>
      <c r="J293" s="71"/>
      <c r="K293" s="84">
        <f t="shared" si="33"/>
        <v>521688</v>
      </c>
      <c r="L293" s="67">
        <f t="shared" si="34"/>
        <v>2201398</v>
      </c>
    </row>
    <row r="294" spans="1:12" hidden="1" outlineLevel="1" x14ac:dyDescent="0.35">
      <c r="A294" s="93" t="s">
        <v>504</v>
      </c>
      <c r="B294" s="144" t="s">
        <v>505</v>
      </c>
      <c r="C294" s="26" t="s">
        <v>920</v>
      </c>
      <c r="D294" s="85"/>
      <c r="E294" s="63">
        <v>34544</v>
      </c>
      <c r="F294" s="83">
        <v>14296</v>
      </c>
      <c r="G294" s="64">
        <v>6193</v>
      </c>
      <c r="H294" s="85"/>
      <c r="I294" s="67"/>
      <c r="J294" s="71"/>
      <c r="K294" s="84">
        <f t="shared" si="33"/>
        <v>0</v>
      </c>
      <c r="L294" s="67">
        <f t="shared" si="34"/>
        <v>55033</v>
      </c>
    </row>
    <row r="295" spans="1:12" hidden="1" outlineLevel="1" x14ac:dyDescent="0.35">
      <c r="A295" s="93" t="s">
        <v>506</v>
      </c>
      <c r="B295" s="146" t="s">
        <v>921</v>
      </c>
      <c r="C295" s="26" t="s">
        <v>920</v>
      </c>
      <c r="D295" s="85"/>
      <c r="E295" s="63"/>
      <c r="F295" s="83"/>
      <c r="G295" s="64"/>
      <c r="H295" s="85"/>
      <c r="I295" s="67"/>
      <c r="J295" s="71"/>
      <c r="K295" s="84">
        <f t="shared" si="33"/>
        <v>0</v>
      </c>
      <c r="L295" s="67">
        <f t="shared" si="34"/>
        <v>0</v>
      </c>
    </row>
    <row r="296" spans="1:12" hidden="1" outlineLevel="1" x14ac:dyDescent="0.35">
      <c r="A296" s="93" t="s">
        <v>508</v>
      </c>
      <c r="B296" s="144" t="s">
        <v>335</v>
      </c>
      <c r="C296" s="26" t="s">
        <v>920</v>
      </c>
      <c r="D296" s="85"/>
      <c r="E296" s="63"/>
      <c r="F296" s="83"/>
      <c r="G296" s="64"/>
      <c r="H296" s="85"/>
      <c r="I296" s="67"/>
      <c r="J296" s="71"/>
      <c r="K296" s="84">
        <f t="shared" si="33"/>
        <v>0</v>
      </c>
      <c r="L296" s="67">
        <f t="shared" si="34"/>
        <v>0</v>
      </c>
    </row>
    <row r="297" spans="1:12" hidden="1" outlineLevel="1" x14ac:dyDescent="0.35">
      <c r="A297" s="93" t="s">
        <v>509</v>
      </c>
      <c r="B297" s="144" t="s">
        <v>337</v>
      </c>
      <c r="C297" s="26" t="s">
        <v>920</v>
      </c>
      <c r="D297" s="85"/>
      <c r="E297" s="63"/>
      <c r="F297" s="83"/>
      <c r="G297" s="64"/>
      <c r="H297" s="85"/>
      <c r="I297" s="67"/>
      <c r="J297" s="71"/>
      <c r="K297" s="84">
        <f t="shared" si="33"/>
        <v>0</v>
      </c>
      <c r="L297" s="67">
        <f t="shared" si="34"/>
        <v>0</v>
      </c>
    </row>
    <row r="298" spans="1:12" hidden="1" outlineLevel="1" x14ac:dyDescent="0.35">
      <c r="A298" s="93" t="s">
        <v>510</v>
      </c>
      <c r="B298" s="144" t="s">
        <v>341</v>
      </c>
      <c r="C298" s="26" t="s">
        <v>920</v>
      </c>
      <c r="D298" s="85"/>
      <c r="E298" s="63"/>
      <c r="F298" s="83"/>
      <c r="G298" s="64"/>
      <c r="H298" s="85"/>
      <c r="I298" s="67"/>
      <c r="J298" s="71"/>
      <c r="K298" s="84">
        <f t="shared" si="33"/>
        <v>0</v>
      </c>
      <c r="L298" s="67">
        <f t="shared" si="34"/>
        <v>0</v>
      </c>
    </row>
    <row r="299" spans="1:12" hidden="1" outlineLevel="1" x14ac:dyDescent="0.35">
      <c r="A299" s="93" t="s">
        <v>511</v>
      </c>
      <c r="B299" s="144" t="s">
        <v>345</v>
      </c>
      <c r="C299" s="26" t="s">
        <v>920</v>
      </c>
      <c r="D299" s="85"/>
      <c r="E299" s="63"/>
      <c r="F299" s="83"/>
      <c r="G299" s="64"/>
      <c r="H299" s="85"/>
      <c r="I299" s="67"/>
      <c r="J299" s="71"/>
      <c r="K299" s="84">
        <f t="shared" si="33"/>
        <v>0</v>
      </c>
      <c r="L299" s="67">
        <f t="shared" si="34"/>
        <v>0</v>
      </c>
    </row>
    <row r="300" spans="1:12" hidden="1" outlineLevel="1" x14ac:dyDescent="0.35">
      <c r="A300" s="93" t="s">
        <v>512</v>
      </c>
      <c r="B300" s="144" t="s">
        <v>347</v>
      </c>
      <c r="C300" s="26" t="s">
        <v>920</v>
      </c>
      <c r="D300" s="85"/>
      <c r="E300" s="63"/>
      <c r="F300" s="83"/>
      <c r="G300" s="64"/>
      <c r="H300" s="85"/>
      <c r="I300" s="67"/>
      <c r="J300" s="71"/>
      <c r="K300" s="84">
        <f t="shared" si="33"/>
        <v>0</v>
      </c>
      <c r="L300" s="67">
        <f t="shared" si="34"/>
        <v>0</v>
      </c>
    </row>
    <row r="301" spans="1:12" hidden="1" outlineLevel="1" x14ac:dyDescent="0.35">
      <c r="A301" s="93" t="s">
        <v>513</v>
      </c>
      <c r="B301" s="144" t="s">
        <v>349</v>
      </c>
      <c r="C301" s="26" t="s">
        <v>920</v>
      </c>
      <c r="D301" s="85"/>
      <c r="E301" s="63"/>
      <c r="F301" s="83"/>
      <c r="G301" s="64"/>
      <c r="H301" s="85"/>
      <c r="I301" s="67"/>
      <c r="J301" s="71"/>
      <c r="K301" s="84">
        <f t="shared" si="33"/>
        <v>0</v>
      </c>
      <c r="L301" s="67">
        <f t="shared" si="34"/>
        <v>0</v>
      </c>
    </row>
    <row r="302" spans="1:12" hidden="1" outlineLevel="1" x14ac:dyDescent="0.35">
      <c r="A302" s="93" t="s">
        <v>514</v>
      </c>
      <c r="B302" s="144" t="s">
        <v>515</v>
      </c>
      <c r="C302" s="26" t="s">
        <v>920</v>
      </c>
      <c r="D302" s="85"/>
      <c r="E302" s="63"/>
      <c r="F302" s="83"/>
      <c r="G302" s="64"/>
      <c r="H302" s="85"/>
      <c r="I302" s="67"/>
      <c r="J302" s="71"/>
      <c r="K302" s="84">
        <f t="shared" si="33"/>
        <v>0</v>
      </c>
      <c r="L302" s="67">
        <f t="shared" si="34"/>
        <v>0</v>
      </c>
    </row>
    <row r="303" spans="1:12" hidden="1" outlineLevel="1" x14ac:dyDescent="0.35">
      <c r="A303" s="93" t="s">
        <v>516</v>
      </c>
      <c r="B303" s="144" t="s">
        <v>517</v>
      </c>
      <c r="C303" s="26" t="s">
        <v>920</v>
      </c>
      <c r="D303" s="85"/>
      <c r="E303" s="63"/>
      <c r="F303" s="83"/>
      <c r="G303" s="64"/>
      <c r="H303" s="85"/>
      <c r="I303" s="67"/>
      <c r="J303" s="71"/>
      <c r="K303" s="84">
        <f t="shared" si="33"/>
        <v>0</v>
      </c>
      <c r="L303" s="67">
        <f t="shared" si="34"/>
        <v>0</v>
      </c>
    </row>
    <row r="304" spans="1:12" hidden="1" outlineLevel="1" x14ac:dyDescent="0.35">
      <c r="A304" s="93" t="s">
        <v>518</v>
      </c>
      <c r="B304" s="144" t="s">
        <v>519</v>
      </c>
      <c r="C304" s="26" t="s">
        <v>920</v>
      </c>
      <c r="D304" s="85">
        <v>15503</v>
      </c>
      <c r="E304" s="75"/>
      <c r="F304" s="85">
        <v>51901</v>
      </c>
      <c r="G304" s="64">
        <v>2835</v>
      </c>
      <c r="H304" s="116">
        <f>140155+47070</f>
        <v>187225</v>
      </c>
      <c r="I304" s="67"/>
      <c r="J304" s="71"/>
      <c r="K304" s="84">
        <f t="shared" si="33"/>
        <v>0</v>
      </c>
      <c r="L304" s="67">
        <f t="shared" si="34"/>
        <v>257464</v>
      </c>
    </row>
    <row r="305" spans="1:12" hidden="1" outlineLevel="1" x14ac:dyDescent="0.35">
      <c r="A305" s="93" t="s">
        <v>520</v>
      </c>
      <c r="B305" s="144" t="s">
        <v>521</v>
      </c>
      <c r="C305" s="26" t="s">
        <v>920</v>
      </c>
      <c r="D305" s="85"/>
      <c r="E305" s="63"/>
      <c r="F305" s="83"/>
      <c r="G305" s="64"/>
      <c r="H305" s="85"/>
      <c r="I305" s="67"/>
      <c r="J305" s="71"/>
      <c r="K305" s="84">
        <f t="shared" si="33"/>
        <v>0</v>
      </c>
      <c r="L305" s="67">
        <f t="shared" si="34"/>
        <v>0</v>
      </c>
    </row>
    <row r="306" spans="1:12" hidden="1" outlineLevel="1" x14ac:dyDescent="0.35">
      <c r="A306" s="93" t="s">
        <v>522</v>
      </c>
      <c r="B306" s="144" t="s">
        <v>365</v>
      </c>
      <c r="C306" s="26" t="s">
        <v>920</v>
      </c>
      <c r="D306" s="85"/>
      <c r="E306" s="63"/>
      <c r="F306" s="83">
        <v>-23154</v>
      </c>
      <c r="G306" s="64">
        <v>4143</v>
      </c>
      <c r="H306" s="85"/>
      <c r="I306" s="67"/>
      <c r="J306" s="71"/>
      <c r="K306" s="84">
        <f t="shared" si="33"/>
        <v>0</v>
      </c>
      <c r="L306" s="67">
        <f t="shared" si="34"/>
        <v>-19011</v>
      </c>
    </row>
    <row r="307" spans="1:12" hidden="1" outlineLevel="1" x14ac:dyDescent="0.35">
      <c r="A307" s="93" t="s">
        <v>523</v>
      </c>
      <c r="B307" s="144" t="s">
        <v>524</v>
      </c>
      <c r="C307" s="26" t="s">
        <v>920</v>
      </c>
      <c r="D307" s="85"/>
      <c r="E307" s="63"/>
      <c r="F307" s="83"/>
      <c r="G307" s="64"/>
      <c r="H307" s="85"/>
      <c r="I307" s="67"/>
      <c r="J307" s="71"/>
      <c r="K307" s="84">
        <f t="shared" si="33"/>
        <v>0</v>
      </c>
      <c r="L307" s="67">
        <f t="shared" si="34"/>
        <v>0</v>
      </c>
    </row>
    <row r="308" spans="1:12" hidden="1" outlineLevel="1" x14ac:dyDescent="0.35">
      <c r="A308" s="93" t="s">
        <v>525</v>
      </c>
      <c r="B308" s="144" t="s">
        <v>526</v>
      </c>
      <c r="C308" s="26" t="s">
        <v>920</v>
      </c>
      <c r="D308" s="85"/>
      <c r="E308" s="63"/>
      <c r="F308" s="83"/>
      <c r="G308" s="64"/>
      <c r="H308" s="85"/>
      <c r="I308" s="67"/>
      <c r="J308" s="71"/>
      <c r="K308" s="84">
        <f t="shared" si="33"/>
        <v>0</v>
      </c>
      <c r="L308" s="67">
        <f t="shared" si="34"/>
        <v>0</v>
      </c>
    </row>
    <row r="309" spans="1:12" hidden="1" outlineLevel="1" x14ac:dyDescent="0.35">
      <c r="A309" s="93" t="s">
        <v>527</v>
      </c>
      <c r="B309" s="144" t="s">
        <v>528</v>
      </c>
      <c r="C309" s="26" t="s">
        <v>920</v>
      </c>
      <c r="D309" s="85"/>
      <c r="E309" s="63"/>
      <c r="F309" s="83"/>
      <c r="G309" s="64"/>
      <c r="H309" s="85"/>
      <c r="I309" s="67"/>
      <c r="J309" s="71"/>
      <c r="K309" s="84">
        <f t="shared" si="33"/>
        <v>0</v>
      </c>
      <c r="L309" s="67">
        <f t="shared" si="34"/>
        <v>0</v>
      </c>
    </row>
    <row r="310" spans="1:12" hidden="1" outlineLevel="1" x14ac:dyDescent="0.35">
      <c r="A310" s="93" t="s">
        <v>529</v>
      </c>
      <c r="B310" s="144" t="s">
        <v>530</v>
      </c>
      <c r="C310" s="26" t="s">
        <v>920</v>
      </c>
      <c r="D310" s="85"/>
      <c r="E310" s="63"/>
      <c r="F310" s="83"/>
      <c r="G310" s="64"/>
      <c r="H310" s="85"/>
      <c r="I310" s="67"/>
      <c r="J310" s="71"/>
      <c r="K310" s="84">
        <f t="shared" si="33"/>
        <v>0</v>
      </c>
      <c r="L310" s="67">
        <f t="shared" si="34"/>
        <v>0</v>
      </c>
    </row>
    <row r="311" spans="1:12" hidden="1" outlineLevel="1" x14ac:dyDescent="0.35">
      <c r="A311" s="93" t="s">
        <v>531</v>
      </c>
      <c r="B311" s="144" t="s">
        <v>532</v>
      </c>
      <c r="C311" s="26" t="s">
        <v>920</v>
      </c>
      <c r="D311" s="85"/>
      <c r="E311" s="63"/>
      <c r="F311" s="83"/>
      <c r="G311" s="64"/>
      <c r="H311" s="85"/>
      <c r="I311" s="67"/>
      <c r="J311" s="71"/>
      <c r="K311" s="84">
        <f t="shared" si="33"/>
        <v>0</v>
      </c>
      <c r="L311" s="67">
        <f t="shared" si="34"/>
        <v>0</v>
      </c>
    </row>
    <row r="312" spans="1:12" hidden="1" outlineLevel="1" x14ac:dyDescent="0.35">
      <c r="A312" s="93" t="s">
        <v>533</v>
      </c>
      <c r="B312" s="144" t="s">
        <v>534</v>
      </c>
      <c r="C312" s="26" t="s">
        <v>920</v>
      </c>
      <c r="D312" s="85"/>
      <c r="E312" s="63"/>
      <c r="F312" s="83"/>
      <c r="G312" s="64">
        <v>251</v>
      </c>
      <c r="H312" s="85"/>
      <c r="I312" s="67"/>
      <c r="J312" s="71"/>
      <c r="K312" s="84">
        <f t="shared" si="33"/>
        <v>0</v>
      </c>
      <c r="L312" s="67">
        <f t="shared" si="34"/>
        <v>251</v>
      </c>
    </row>
    <row r="313" spans="1:12" hidden="1" outlineLevel="1" x14ac:dyDescent="0.35">
      <c r="A313" s="93" t="s">
        <v>535</v>
      </c>
      <c r="B313" s="144" t="s">
        <v>536</v>
      </c>
      <c r="C313" s="26" t="s">
        <v>920</v>
      </c>
      <c r="D313" s="85">
        <v>51810</v>
      </c>
      <c r="E313" s="63">
        <v>79872</v>
      </c>
      <c r="F313" s="83"/>
      <c r="G313" s="64"/>
      <c r="H313" s="85"/>
      <c r="I313" s="67"/>
      <c r="J313" s="71"/>
      <c r="K313" s="84">
        <f t="shared" si="33"/>
        <v>0</v>
      </c>
      <c r="L313" s="67">
        <f t="shared" si="34"/>
        <v>131682</v>
      </c>
    </row>
    <row r="314" spans="1:12" hidden="1" outlineLevel="1" x14ac:dyDescent="0.35">
      <c r="A314" s="93" t="s">
        <v>537</v>
      </c>
      <c r="B314" s="144" t="s">
        <v>538</v>
      </c>
      <c r="C314" s="26" t="s">
        <v>920</v>
      </c>
      <c r="D314" s="85"/>
      <c r="E314" s="63">
        <v>13140</v>
      </c>
      <c r="F314" s="83"/>
      <c r="G314" s="64"/>
      <c r="H314" s="85"/>
      <c r="I314" s="67"/>
      <c r="J314" s="71"/>
      <c r="K314" s="84">
        <f t="shared" si="33"/>
        <v>0</v>
      </c>
      <c r="L314" s="67">
        <f t="shared" si="34"/>
        <v>13140</v>
      </c>
    </row>
    <row r="315" spans="1:12" hidden="1" outlineLevel="1" x14ac:dyDescent="0.35">
      <c r="A315" s="93" t="s">
        <v>539</v>
      </c>
      <c r="B315" s="144" t="s">
        <v>540</v>
      </c>
      <c r="C315" s="26" t="s">
        <v>920</v>
      </c>
      <c r="D315" s="85"/>
      <c r="E315" s="63"/>
      <c r="F315" s="83"/>
      <c r="G315" s="64"/>
      <c r="H315" s="85"/>
      <c r="I315" s="67"/>
      <c r="J315" s="71"/>
      <c r="K315" s="84">
        <f t="shared" si="33"/>
        <v>0</v>
      </c>
      <c r="L315" s="67">
        <f t="shared" si="34"/>
        <v>0</v>
      </c>
    </row>
    <row r="316" spans="1:12" hidden="1" outlineLevel="1" x14ac:dyDescent="0.35">
      <c r="A316" s="93" t="s">
        <v>541</v>
      </c>
      <c r="B316" s="144" t="s">
        <v>542</v>
      </c>
      <c r="C316" s="26" t="s">
        <v>920</v>
      </c>
      <c r="D316" s="85"/>
      <c r="E316" s="63"/>
      <c r="F316" s="83"/>
      <c r="G316" s="64"/>
      <c r="H316" s="85"/>
      <c r="I316" s="67"/>
      <c r="J316" s="71"/>
      <c r="K316" s="84">
        <f t="shared" si="33"/>
        <v>0</v>
      </c>
      <c r="L316" s="67">
        <f t="shared" si="34"/>
        <v>0</v>
      </c>
    </row>
    <row r="317" spans="1:12" hidden="1" outlineLevel="1" x14ac:dyDescent="0.35">
      <c r="A317" s="93" t="s">
        <v>543</v>
      </c>
      <c r="B317" s="144" t="s">
        <v>544</v>
      </c>
      <c r="C317" s="26" t="s">
        <v>920</v>
      </c>
      <c r="D317" s="85"/>
      <c r="E317" s="63"/>
      <c r="F317" s="83">
        <v>541466</v>
      </c>
      <c r="G317" s="64">
        <v>111953</v>
      </c>
      <c r="H317" s="85">
        <v>448702</v>
      </c>
      <c r="I317" s="67">
        <f>105637+38623+8529+107590+572+260737</f>
        <v>521688</v>
      </c>
      <c r="J317" s="71"/>
      <c r="K317" s="84">
        <f t="shared" si="33"/>
        <v>521688</v>
      </c>
      <c r="L317" s="67">
        <f t="shared" si="34"/>
        <v>1623809</v>
      </c>
    </row>
    <row r="318" spans="1:12" hidden="1" outlineLevel="1" x14ac:dyDescent="0.35">
      <c r="A318" s="93" t="s">
        <v>545</v>
      </c>
      <c r="B318" s="151" t="s">
        <v>546</v>
      </c>
      <c r="C318" s="26" t="s">
        <v>920</v>
      </c>
      <c r="D318" s="85"/>
      <c r="E318" s="63">
        <v>26400</v>
      </c>
      <c r="F318" s="83">
        <v>107350</v>
      </c>
      <c r="G318" s="64"/>
      <c r="H318" s="85"/>
      <c r="I318" s="67"/>
      <c r="J318" s="71"/>
      <c r="K318" s="84">
        <f t="shared" si="33"/>
        <v>0</v>
      </c>
      <c r="L318" s="67">
        <f t="shared" si="34"/>
        <v>133750</v>
      </c>
    </row>
    <row r="319" spans="1:12" hidden="1" outlineLevel="1" x14ac:dyDescent="0.35">
      <c r="A319" s="93" t="s">
        <v>547</v>
      </c>
      <c r="B319" s="151" t="s">
        <v>548</v>
      </c>
      <c r="C319" s="26" t="s">
        <v>920</v>
      </c>
      <c r="D319" s="85"/>
      <c r="E319" s="63">
        <v>21845</v>
      </c>
      <c r="F319" s="83"/>
      <c r="G319" s="64"/>
      <c r="H319" s="85"/>
      <c r="I319" s="67"/>
      <c r="J319" s="71"/>
      <c r="K319" s="84">
        <f t="shared" si="33"/>
        <v>0</v>
      </c>
      <c r="L319" s="67">
        <f t="shared" si="34"/>
        <v>21845</v>
      </c>
    </row>
    <row r="320" spans="1:12" hidden="1" outlineLevel="1" x14ac:dyDescent="0.35">
      <c r="A320" s="93" t="s">
        <v>549</v>
      </c>
      <c r="B320" s="144" t="s">
        <v>550</v>
      </c>
      <c r="C320" s="26" t="s">
        <v>920</v>
      </c>
      <c r="D320" s="85"/>
      <c r="E320" s="63">
        <v>13362</v>
      </c>
      <c r="F320" s="83"/>
      <c r="G320" s="64">
        <v>122045</v>
      </c>
      <c r="H320" s="85"/>
      <c r="I320" s="67"/>
      <c r="J320" s="71"/>
      <c r="K320" s="84">
        <f t="shared" si="33"/>
        <v>0</v>
      </c>
      <c r="L320" s="67">
        <f t="shared" si="34"/>
        <v>135407</v>
      </c>
    </row>
    <row r="321" spans="1:12" hidden="1" outlineLevel="1" x14ac:dyDescent="0.35">
      <c r="A321" s="93" t="s">
        <v>551</v>
      </c>
      <c r="B321" s="144" t="s">
        <v>552</v>
      </c>
      <c r="C321" s="26" t="s">
        <v>920</v>
      </c>
      <c r="D321" s="85"/>
      <c r="E321" s="63"/>
      <c r="F321" s="83"/>
      <c r="G321" s="64"/>
      <c r="H321" s="85"/>
      <c r="I321" s="67"/>
      <c r="J321" s="71"/>
      <c r="K321" s="84">
        <f t="shared" si="33"/>
        <v>0</v>
      </c>
      <c r="L321" s="67">
        <f t="shared" si="34"/>
        <v>0</v>
      </c>
    </row>
    <row r="322" spans="1:12" hidden="1" outlineLevel="1" x14ac:dyDescent="0.35">
      <c r="A322" s="93" t="s">
        <v>553</v>
      </c>
      <c r="B322" s="144" t="s">
        <v>554</v>
      </c>
      <c r="C322" s="26" t="s">
        <v>920</v>
      </c>
      <c r="D322" s="85"/>
      <c r="E322" s="63"/>
      <c r="F322" s="83"/>
      <c r="G322" s="64"/>
      <c r="H322" s="85"/>
      <c r="I322" s="67"/>
      <c r="J322" s="71"/>
      <c r="K322" s="84">
        <f t="shared" si="33"/>
        <v>0</v>
      </c>
      <c r="L322" s="67">
        <f t="shared" si="34"/>
        <v>0</v>
      </c>
    </row>
    <row r="323" spans="1:12" hidden="1" outlineLevel="1" x14ac:dyDescent="0.35">
      <c r="A323" s="93" t="s">
        <v>555</v>
      </c>
      <c r="B323" s="144" t="s">
        <v>556</v>
      </c>
      <c r="C323" s="26" t="s">
        <v>920</v>
      </c>
      <c r="D323" s="85"/>
      <c r="E323" s="63"/>
      <c r="F323" s="83"/>
      <c r="G323" s="64"/>
      <c r="H323" s="85"/>
      <c r="I323" s="67"/>
      <c r="J323" s="71"/>
      <c r="K323" s="84">
        <f t="shared" si="33"/>
        <v>0</v>
      </c>
      <c r="L323" s="67">
        <f t="shared" si="34"/>
        <v>0</v>
      </c>
    </row>
    <row r="324" spans="1:12" hidden="1" outlineLevel="1" x14ac:dyDescent="0.35">
      <c r="A324" s="93" t="s">
        <v>557</v>
      </c>
      <c r="B324" s="144" t="s">
        <v>558</v>
      </c>
      <c r="C324" s="26" t="s">
        <v>920</v>
      </c>
      <c r="D324" s="85"/>
      <c r="E324" s="63"/>
      <c r="F324" s="83"/>
      <c r="G324" s="64"/>
      <c r="H324" s="85"/>
      <c r="I324" s="67"/>
      <c r="J324" s="71"/>
      <c r="K324" s="84">
        <f t="shared" si="33"/>
        <v>0</v>
      </c>
      <c r="L324" s="67">
        <f t="shared" si="34"/>
        <v>0</v>
      </c>
    </row>
    <row r="325" spans="1:12" hidden="1" outlineLevel="1" x14ac:dyDescent="0.35">
      <c r="A325" s="93" t="s">
        <v>559</v>
      </c>
      <c r="B325" s="144" t="s">
        <v>560</v>
      </c>
      <c r="C325" s="26" t="s">
        <v>920</v>
      </c>
      <c r="D325" s="85"/>
      <c r="E325" s="63"/>
      <c r="F325" s="83"/>
      <c r="G325" s="64"/>
      <c r="H325" s="85"/>
      <c r="I325" s="67"/>
      <c r="J325" s="71"/>
      <c r="K325" s="84">
        <f t="shared" si="33"/>
        <v>0</v>
      </c>
      <c r="L325" s="67">
        <f t="shared" si="34"/>
        <v>0</v>
      </c>
    </row>
    <row r="326" spans="1:12" hidden="1" outlineLevel="1" x14ac:dyDescent="0.35">
      <c r="A326" s="93" t="s">
        <v>561</v>
      </c>
      <c r="B326" s="144" t="s">
        <v>562</v>
      </c>
      <c r="C326" s="26" t="s">
        <v>920</v>
      </c>
      <c r="D326" s="85"/>
      <c r="E326" s="63"/>
      <c r="F326" s="83"/>
      <c r="G326" s="64"/>
      <c r="H326" s="85"/>
      <c r="I326" s="67"/>
      <c r="J326" s="71"/>
      <c r="K326" s="84">
        <f t="shared" si="33"/>
        <v>0</v>
      </c>
      <c r="L326" s="67">
        <f t="shared" si="34"/>
        <v>0</v>
      </c>
    </row>
    <row r="327" spans="1:12" hidden="1" outlineLevel="1" x14ac:dyDescent="0.35">
      <c r="A327" s="93" t="s">
        <v>563</v>
      </c>
      <c r="B327" s="144" t="s">
        <v>564</v>
      </c>
      <c r="C327" s="26" t="s">
        <v>920</v>
      </c>
      <c r="D327" s="85"/>
      <c r="E327" s="63"/>
      <c r="F327" s="83"/>
      <c r="G327" s="64"/>
      <c r="H327" s="85"/>
      <c r="I327" s="67"/>
      <c r="J327" s="71"/>
      <c r="K327" s="84">
        <f t="shared" si="33"/>
        <v>0</v>
      </c>
      <c r="L327" s="67">
        <f t="shared" si="34"/>
        <v>0</v>
      </c>
    </row>
    <row r="328" spans="1:12" hidden="1" outlineLevel="1" x14ac:dyDescent="0.35">
      <c r="A328" s="93" t="s">
        <v>565</v>
      </c>
      <c r="B328" s="144" t="s">
        <v>566</v>
      </c>
      <c r="C328" s="26" t="s">
        <v>920</v>
      </c>
      <c r="D328" s="85"/>
      <c r="E328" s="63"/>
      <c r="F328" s="83"/>
      <c r="G328" s="64"/>
      <c r="H328" s="85"/>
      <c r="I328" s="67"/>
      <c r="J328" s="71"/>
      <c r="K328" s="84">
        <f t="shared" si="33"/>
        <v>0</v>
      </c>
      <c r="L328" s="67">
        <f t="shared" si="34"/>
        <v>0</v>
      </c>
    </row>
    <row r="329" spans="1:12" hidden="1" outlineLevel="1" x14ac:dyDescent="0.35">
      <c r="A329" s="93" t="s">
        <v>567</v>
      </c>
      <c r="B329" s="144" t="s">
        <v>923</v>
      </c>
      <c r="C329" s="26" t="s">
        <v>920</v>
      </c>
      <c r="D329" s="85"/>
      <c r="E329" s="63"/>
      <c r="F329" s="83"/>
      <c r="G329" s="64"/>
      <c r="H329" s="85"/>
      <c r="I329" s="67"/>
      <c r="J329" s="71"/>
      <c r="K329" s="84">
        <f t="shared" si="33"/>
        <v>0</v>
      </c>
      <c r="L329" s="67">
        <f t="shared" si="34"/>
        <v>0</v>
      </c>
    </row>
    <row r="330" spans="1:12" hidden="1" outlineLevel="1" x14ac:dyDescent="0.35">
      <c r="A330" s="93" t="s">
        <v>568</v>
      </c>
      <c r="B330" s="144" t="s">
        <v>569</v>
      </c>
      <c r="C330" s="26" t="s">
        <v>920</v>
      </c>
      <c r="D330" s="85"/>
      <c r="E330" s="63"/>
      <c r="F330" s="83"/>
      <c r="G330" s="64"/>
      <c r="H330" s="85"/>
      <c r="I330" s="67"/>
      <c r="J330" s="71"/>
      <c r="K330" s="84">
        <f t="shared" si="33"/>
        <v>0</v>
      </c>
      <c r="L330" s="67">
        <f t="shared" si="34"/>
        <v>0</v>
      </c>
    </row>
    <row r="331" spans="1:12" hidden="1" outlineLevel="1" x14ac:dyDescent="0.35">
      <c r="A331" s="93" t="s">
        <v>570</v>
      </c>
      <c r="B331" s="144" t="s">
        <v>571</v>
      </c>
      <c r="C331" s="26" t="s">
        <v>920</v>
      </c>
      <c r="D331" s="85"/>
      <c r="E331" s="63"/>
      <c r="F331" s="83"/>
      <c r="G331" s="64"/>
      <c r="H331" s="85"/>
      <c r="I331" s="67"/>
      <c r="J331" s="71"/>
      <c r="K331" s="84">
        <f t="shared" si="33"/>
        <v>0</v>
      </c>
      <c r="L331" s="67">
        <f t="shared" si="34"/>
        <v>0</v>
      </c>
    </row>
    <row r="332" spans="1:12" hidden="1" outlineLevel="1" x14ac:dyDescent="0.35">
      <c r="A332" s="93" t="s">
        <v>572</v>
      </c>
      <c r="B332" s="144" t="s">
        <v>573</v>
      </c>
      <c r="C332" s="26" t="s">
        <v>920</v>
      </c>
      <c r="D332" s="85"/>
      <c r="E332" s="63"/>
      <c r="F332" s="83"/>
      <c r="G332" s="64"/>
      <c r="H332" s="85"/>
      <c r="I332" s="67"/>
      <c r="J332" s="71"/>
      <c r="K332" s="84">
        <f t="shared" si="33"/>
        <v>0</v>
      </c>
      <c r="L332" s="67">
        <f t="shared" si="34"/>
        <v>0</v>
      </c>
    </row>
    <row r="333" spans="1:12" hidden="1" outlineLevel="1" x14ac:dyDescent="0.35">
      <c r="A333" s="93" t="s">
        <v>574</v>
      </c>
      <c r="B333" s="144" t="s">
        <v>575</v>
      </c>
      <c r="C333" s="26" t="s">
        <v>920</v>
      </c>
      <c r="D333" s="85"/>
      <c r="E333" s="63"/>
      <c r="F333" s="83"/>
      <c r="G333" s="64"/>
      <c r="H333" s="85"/>
      <c r="I333" s="67"/>
      <c r="J333" s="71"/>
      <c r="K333" s="84">
        <f t="shared" si="33"/>
        <v>0</v>
      </c>
      <c r="L333" s="67">
        <f t="shared" si="34"/>
        <v>0</v>
      </c>
    </row>
    <row r="334" spans="1:12" hidden="1" outlineLevel="1" x14ac:dyDescent="0.35">
      <c r="A334" s="93" t="s">
        <v>576</v>
      </c>
      <c r="B334" s="144" t="s">
        <v>577</v>
      </c>
      <c r="C334" s="26" t="s">
        <v>920</v>
      </c>
      <c r="D334" s="85"/>
      <c r="E334" s="63"/>
      <c r="F334" s="83"/>
      <c r="G334" s="64">
        <v>13317</v>
      </c>
      <c r="H334" s="85">
        <v>-174489</v>
      </c>
      <c r="I334" s="67"/>
      <c r="J334" s="71"/>
      <c r="K334" s="84">
        <f t="shared" si="33"/>
        <v>0</v>
      </c>
      <c r="L334" s="67">
        <f t="shared" si="34"/>
        <v>-161172</v>
      </c>
    </row>
    <row r="335" spans="1:12" hidden="1" outlineLevel="1" x14ac:dyDescent="0.35">
      <c r="A335" s="93" t="s">
        <v>578</v>
      </c>
      <c r="B335" s="144" t="s">
        <v>579</v>
      </c>
      <c r="C335" s="26" t="s">
        <v>920</v>
      </c>
      <c r="D335" s="85"/>
      <c r="E335" s="63">
        <v>9200</v>
      </c>
      <c r="F335" s="91"/>
      <c r="G335" s="64"/>
      <c r="H335" s="85"/>
      <c r="I335" s="67"/>
      <c r="J335" s="71"/>
      <c r="K335" s="84">
        <f t="shared" si="33"/>
        <v>0</v>
      </c>
      <c r="L335" s="67">
        <f t="shared" si="34"/>
        <v>9200</v>
      </c>
    </row>
    <row r="336" spans="1:12" hidden="1" outlineLevel="1" x14ac:dyDescent="0.35">
      <c r="A336" s="93" t="s">
        <v>580</v>
      </c>
      <c r="B336" s="144" t="s">
        <v>581</v>
      </c>
      <c r="C336" s="26" t="s">
        <v>920</v>
      </c>
      <c r="D336" s="85"/>
      <c r="E336" s="63"/>
      <c r="F336" s="83"/>
      <c r="G336" s="64"/>
      <c r="H336" s="85"/>
      <c r="I336" s="67"/>
      <c r="J336" s="71"/>
      <c r="K336" s="84">
        <f t="shared" si="33"/>
        <v>0</v>
      </c>
      <c r="L336" s="67">
        <f t="shared" si="34"/>
        <v>0</v>
      </c>
    </row>
    <row r="337" spans="1:12" hidden="1" outlineLevel="1" x14ac:dyDescent="0.35">
      <c r="A337" s="93" t="s">
        <v>582</v>
      </c>
      <c r="B337" s="144" t="s">
        <v>583</v>
      </c>
      <c r="C337" s="26" t="s">
        <v>920</v>
      </c>
      <c r="D337" s="85"/>
      <c r="E337" s="63"/>
      <c r="F337" s="83"/>
      <c r="G337" s="64"/>
      <c r="H337" s="85"/>
      <c r="I337" s="67"/>
      <c r="J337" s="71"/>
      <c r="K337" s="84">
        <f t="shared" si="33"/>
        <v>0</v>
      </c>
      <c r="L337" s="67">
        <f t="shared" si="34"/>
        <v>0</v>
      </c>
    </row>
    <row r="338" spans="1:12" x14ac:dyDescent="0.35">
      <c r="A338" s="93"/>
      <c r="B338" s="149" t="s">
        <v>1286</v>
      </c>
      <c r="C338" s="35"/>
      <c r="D338" s="88">
        <f t="shared" ref="D338:K338" si="37">D194+D256-D293</f>
        <v>1343852.1943537267</v>
      </c>
      <c r="E338" s="76">
        <f t="shared" si="37"/>
        <v>884543.7521590828</v>
      </c>
      <c r="F338" s="88">
        <f t="shared" si="37"/>
        <v>2723659.0643007476</v>
      </c>
      <c r="G338" s="76">
        <f t="shared" si="37"/>
        <v>2734123.4360258365</v>
      </c>
      <c r="H338" s="88">
        <f t="shared" si="37"/>
        <v>2040441.5531606069</v>
      </c>
      <c r="I338" s="76">
        <f t="shared" si="37"/>
        <v>1034253</v>
      </c>
      <c r="J338" s="76"/>
      <c r="K338" s="88">
        <f t="shared" si="37"/>
        <v>5236078</v>
      </c>
      <c r="L338" s="111">
        <f t="shared" ref="L338:L402" si="38">K338+D338+E338+F338+G338+H338</f>
        <v>14962698</v>
      </c>
    </row>
    <row r="339" spans="1:12" collapsed="1" x14ac:dyDescent="0.35">
      <c r="A339" s="93"/>
      <c r="B339" s="144" t="s">
        <v>925</v>
      </c>
      <c r="C339" s="26"/>
      <c r="D339" s="85">
        <f>SUM(D340:D385)</f>
        <v>0</v>
      </c>
      <c r="E339" s="65">
        <f t="shared" ref="E339:I339" si="39">SUM(E340:E385)</f>
        <v>81952</v>
      </c>
      <c r="F339" s="85">
        <f t="shared" si="39"/>
        <v>29086</v>
      </c>
      <c r="G339" s="65">
        <f t="shared" si="39"/>
        <v>15750</v>
      </c>
      <c r="H339" s="85">
        <f t="shared" si="39"/>
        <v>0</v>
      </c>
      <c r="I339" s="65">
        <f t="shared" si="39"/>
        <v>775560</v>
      </c>
      <c r="J339" s="71">
        <f>J341</f>
        <v>3824630</v>
      </c>
      <c r="K339" s="84">
        <f t="shared" ref="K339:K402" si="40">J339+I339</f>
        <v>4600190</v>
      </c>
      <c r="L339" s="67">
        <f t="shared" si="38"/>
        <v>4726978</v>
      </c>
    </row>
    <row r="340" spans="1:12" hidden="1" outlineLevel="1" x14ac:dyDescent="0.35">
      <c r="A340" s="93" t="s">
        <v>584</v>
      </c>
      <c r="B340" s="144" t="s">
        <v>585</v>
      </c>
      <c r="C340" s="26" t="s">
        <v>925</v>
      </c>
      <c r="D340" s="85"/>
      <c r="E340" s="63"/>
      <c r="F340" s="83">
        <v>1391730</v>
      </c>
      <c r="G340" s="64">
        <v>767750</v>
      </c>
      <c r="H340" s="85">
        <v>743372</v>
      </c>
      <c r="I340" s="67">
        <v>363601</v>
      </c>
      <c r="J340" s="71"/>
      <c r="K340" s="84">
        <f t="shared" si="40"/>
        <v>363601</v>
      </c>
      <c r="L340" s="67">
        <f t="shared" si="38"/>
        <v>3266453</v>
      </c>
    </row>
    <row r="341" spans="1:12" hidden="1" outlineLevel="1" x14ac:dyDescent="0.35">
      <c r="A341" s="93"/>
      <c r="B341" s="117" t="s">
        <v>1305</v>
      </c>
      <c r="C341" s="118"/>
      <c r="D341" s="119"/>
      <c r="E341" s="121"/>
      <c r="F341" s="122">
        <f>-F340-F346-F362-F363-F364-F368</f>
        <v>-1817164</v>
      </c>
      <c r="G341" s="123">
        <f>-G340-G345-G346-G347-G349-G357-G360-G361-G362-G363-G364-G366-G373-G376-G383</f>
        <v>-1027923</v>
      </c>
      <c r="H341" s="119">
        <f>-H340-H345-H362-H363-H364</f>
        <v>-979543</v>
      </c>
      <c r="I341" s="120">
        <v>0</v>
      </c>
      <c r="J341" s="128">
        <f>-H341-G341-F341-E341-D341</f>
        <v>3824630</v>
      </c>
      <c r="K341" s="133">
        <f>+J341+I341</f>
        <v>3824630</v>
      </c>
      <c r="L341" s="129">
        <f>+K341+H341+G341+F341+E341+D341</f>
        <v>0</v>
      </c>
    </row>
    <row r="342" spans="1:12" hidden="1" outlineLevel="1" x14ac:dyDescent="0.35">
      <c r="A342" s="93" t="s">
        <v>586</v>
      </c>
      <c r="B342" s="144" t="s">
        <v>587</v>
      </c>
      <c r="C342" s="26" t="s">
        <v>925</v>
      </c>
      <c r="D342" s="85"/>
      <c r="E342" s="63"/>
      <c r="F342" s="83"/>
      <c r="G342" s="64">
        <v>13000</v>
      </c>
      <c r="H342" s="85"/>
      <c r="I342" s="67"/>
      <c r="J342" s="71">
        <f t="shared" ref="J342" si="41">D342+E342+F342+G342+H342</f>
        <v>13000</v>
      </c>
      <c r="K342" s="84">
        <f t="shared" si="40"/>
        <v>13000</v>
      </c>
      <c r="L342" s="67">
        <f t="shared" si="38"/>
        <v>26000</v>
      </c>
    </row>
    <row r="343" spans="1:12" hidden="1" outlineLevel="1" x14ac:dyDescent="0.35">
      <c r="A343" s="93" t="s">
        <v>588</v>
      </c>
      <c r="B343" s="144" t="s">
        <v>589</v>
      </c>
      <c r="C343" s="26" t="s">
        <v>925</v>
      </c>
      <c r="D343" s="85"/>
      <c r="E343" s="63"/>
      <c r="F343" s="83">
        <v>29086</v>
      </c>
      <c r="G343" s="64">
        <v>2750</v>
      </c>
      <c r="H343" s="85"/>
      <c r="I343" s="67">
        <f>132000+18000+2500</f>
        <v>152500</v>
      </c>
      <c r="J343" s="71"/>
      <c r="K343" s="84">
        <f t="shared" si="40"/>
        <v>152500</v>
      </c>
      <c r="L343" s="67">
        <f t="shared" si="38"/>
        <v>184336</v>
      </c>
    </row>
    <row r="344" spans="1:12" hidden="1" outlineLevel="1" x14ac:dyDescent="0.35">
      <c r="A344" s="93" t="s">
        <v>590</v>
      </c>
      <c r="B344" s="144" t="s">
        <v>591</v>
      </c>
      <c r="C344" s="26" t="s">
        <v>925</v>
      </c>
      <c r="D344" s="85"/>
      <c r="E344" s="63"/>
      <c r="F344" s="83"/>
      <c r="G344" s="64"/>
      <c r="H344" s="85"/>
      <c r="I344" s="67"/>
      <c r="J344" s="71"/>
      <c r="K344" s="84">
        <f t="shared" si="40"/>
        <v>0</v>
      </c>
      <c r="L344" s="67">
        <f t="shared" si="38"/>
        <v>0</v>
      </c>
    </row>
    <row r="345" spans="1:12" hidden="1" outlineLevel="1" x14ac:dyDescent="0.35">
      <c r="A345" s="93" t="s">
        <v>592</v>
      </c>
      <c r="B345" s="144" t="s">
        <v>593</v>
      </c>
      <c r="C345" s="26" t="s">
        <v>925</v>
      </c>
      <c r="D345" s="85"/>
      <c r="E345" s="63"/>
      <c r="F345" s="83"/>
      <c r="G345" s="64">
        <v>-26840</v>
      </c>
      <c r="H345" s="85">
        <f>2460+91127</f>
        <v>93587</v>
      </c>
      <c r="I345" s="67"/>
      <c r="J345" s="71"/>
      <c r="K345" s="84">
        <f t="shared" si="40"/>
        <v>0</v>
      </c>
      <c r="L345" s="67">
        <f t="shared" si="38"/>
        <v>66747</v>
      </c>
    </row>
    <row r="346" spans="1:12" hidden="1" outlineLevel="1" x14ac:dyDescent="0.35">
      <c r="A346" s="93" t="s">
        <v>594</v>
      </c>
      <c r="B346" s="144" t="s">
        <v>595</v>
      </c>
      <c r="C346" s="26" t="s">
        <v>925</v>
      </c>
      <c r="D346" s="85"/>
      <c r="E346" s="63"/>
      <c r="F346" s="83">
        <v>178512</v>
      </c>
      <c r="G346" s="64">
        <v>92130</v>
      </c>
      <c r="H346" s="85"/>
      <c r="I346" s="67">
        <v>56232</v>
      </c>
      <c r="J346" s="71"/>
      <c r="K346" s="84">
        <f t="shared" si="40"/>
        <v>56232</v>
      </c>
      <c r="L346" s="67">
        <f t="shared" si="38"/>
        <v>326874</v>
      </c>
    </row>
    <row r="347" spans="1:12" hidden="1" outlineLevel="1" x14ac:dyDescent="0.35">
      <c r="A347" s="93" t="s">
        <v>596</v>
      </c>
      <c r="B347" s="144" t="s">
        <v>597</v>
      </c>
      <c r="C347" s="26" t="s">
        <v>925</v>
      </c>
      <c r="D347" s="85"/>
      <c r="E347" s="63"/>
      <c r="F347" s="83"/>
      <c r="G347" s="64">
        <v>9229</v>
      </c>
      <c r="H347" s="85"/>
      <c r="I347" s="67"/>
      <c r="J347" s="71"/>
      <c r="K347" s="84">
        <f t="shared" si="40"/>
        <v>0</v>
      </c>
      <c r="L347" s="67">
        <f t="shared" si="38"/>
        <v>9229</v>
      </c>
    </row>
    <row r="348" spans="1:12" hidden="1" outlineLevel="1" x14ac:dyDescent="0.35">
      <c r="A348" s="93" t="s">
        <v>598</v>
      </c>
      <c r="B348" s="144" t="s">
        <v>599</v>
      </c>
      <c r="C348" s="26" t="s">
        <v>925</v>
      </c>
      <c r="D348" s="85"/>
      <c r="E348" s="63"/>
      <c r="F348" s="83"/>
      <c r="G348" s="64"/>
      <c r="H348" s="85"/>
      <c r="I348" s="67"/>
      <c r="J348" s="71"/>
      <c r="K348" s="84">
        <f t="shared" si="40"/>
        <v>0</v>
      </c>
      <c r="L348" s="67">
        <f t="shared" si="38"/>
        <v>0</v>
      </c>
    </row>
    <row r="349" spans="1:12" hidden="1" outlineLevel="1" x14ac:dyDescent="0.35">
      <c r="A349" s="93" t="s">
        <v>600</v>
      </c>
      <c r="B349" s="144" t="s">
        <v>601</v>
      </c>
      <c r="C349" s="26" t="s">
        <v>925</v>
      </c>
      <c r="D349" s="85"/>
      <c r="E349" s="63"/>
      <c r="F349" s="83"/>
      <c r="G349" s="64">
        <v>562</v>
      </c>
      <c r="H349" s="85"/>
      <c r="I349" s="67"/>
      <c r="J349" s="71"/>
      <c r="K349" s="84">
        <f t="shared" si="40"/>
        <v>0</v>
      </c>
      <c r="L349" s="67">
        <f t="shared" si="38"/>
        <v>562</v>
      </c>
    </row>
    <row r="350" spans="1:12" hidden="1" outlineLevel="1" x14ac:dyDescent="0.35">
      <c r="A350" s="93" t="s">
        <v>602</v>
      </c>
      <c r="B350" s="144" t="s">
        <v>603</v>
      </c>
      <c r="C350" s="26" t="s">
        <v>925</v>
      </c>
      <c r="D350" s="85"/>
      <c r="E350" s="63"/>
      <c r="F350" s="83"/>
      <c r="G350" s="64"/>
      <c r="H350" s="85"/>
      <c r="I350" s="67"/>
      <c r="J350" s="71"/>
      <c r="K350" s="84">
        <f t="shared" si="40"/>
        <v>0</v>
      </c>
      <c r="L350" s="67">
        <f t="shared" si="38"/>
        <v>0</v>
      </c>
    </row>
    <row r="351" spans="1:12" hidden="1" outlineLevel="1" x14ac:dyDescent="0.35">
      <c r="A351" s="93" t="s">
        <v>604</v>
      </c>
      <c r="B351" s="144" t="s">
        <v>605</v>
      </c>
      <c r="C351" s="26" t="s">
        <v>925</v>
      </c>
      <c r="D351" s="85"/>
      <c r="E351" s="63"/>
      <c r="F351" s="83"/>
      <c r="G351" s="64"/>
      <c r="H351" s="85"/>
      <c r="I351" s="67"/>
      <c r="J351" s="71"/>
      <c r="K351" s="84">
        <f t="shared" si="40"/>
        <v>0</v>
      </c>
      <c r="L351" s="67">
        <f t="shared" si="38"/>
        <v>0</v>
      </c>
    </row>
    <row r="352" spans="1:12" hidden="1" outlineLevel="1" x14ac:dyDescent="0.35">
      <c r="A352" s="93" t="s">
        <v>606</v>
      </c>
      <c r="B352" s="144" t="s">
        <v>607</v>
      </c>
      <c r="C352" s="26" t="s">
        <v>925</v>
      </c>
      <c r="D352" s="85"/>
      <c r="E352" s="63"/>
      <c r="F352" s="83"/>
      <c r="G352" s="64"/>
      <c r="H352" s="85"/>
      <c r="I352" s="67"/>
      <c r="J352" s="71"/>
      <c r="K352" s="84">
        <f t="shared" si="40"/>
        <v>0</v>
      </c>
      <c r="L352" s="67">
        <f t="shared" si="38"/>
        <v>0</v>
      </c>
    </row>
    <row r="353" spans="1:12" hidden="1" outlineLevel="1" x14ac:dyDescent="0.35">
      <c r="A353" s="93" t="s">
        <v>608</v>
      </c>
      <c r="B353" s="144" t="s">
        <v>609</v>
      </c>
      <c r="C353" s="26" t="s">
        <v>925</v>
      </c>
      <c r="D353" s="85"/>
      <c r="E353" s="63"/>
      <c r="F353" s="83"/>
      <c r="G353" s="64"/>
      <c r="H353" s="85"/>
      <c r="I353" s="67"/>
      <c r="J353" s="71"/>
      <c r="K353" s="84">
        <f t="shared" si="40"/>
        <v>0</v>
      </c>
      <c r="L353" s="67">
        <f t="shared" si="38"/>
        <v>0</v>
      </c>
    </row>
    <row r="354" spans="1:12" hidden="1" outlineLevel="1" x14ac:dyDescent="0.35">
      <c r="A354" s="93" t="s">
        <v>610</v>
      </c>
      <c r="B354" s="144" t="s">
        <v>611</v>
      </c>
      <c r="C354" s="26" t="s">
        <v>925</v>
      </c>
      <c r="D354" s="85"/>
      <c r="E354" s="63"/>
      <c r="F354" s="83"/>
      <c r="G354" s="64"/>
      <c r="H354" s="85"/>
      <c r="I354" s="67"/>
      <c r="J354" s="71"/>
      <c r="K354" s="84">
        <f t="shared" si="40"/>
        <v>0</v>
      </c>
      <c r="L354" s="67">
        <f t="shared" si="38"/>
        <v>0</v>
      </c>
    </row>
    <row r="355" spans="1:12" hidden="1" outlineLevel="1" x14ac:dyDescent="0.35">
      <c r="A355" s="93" t="s">
        <v>612</v>
      </c>
      <c r="B355" s="144" t="s">
        <v>613</v>
      </c>
      <c r="C355" s="26" t="s">
        <v>925</v>
      </c>
      <c r="D355" s="85"/>
      <c r="E355" s="63"/>
      <c r="F355" s="83"/>
      <c r="G355" s="64"/>
      <c r="H355" s="85"/>
      <c r="I355" s="67">
        <v>20409</v>
      </c>
      <c r="J355" s="71"/>
      <c r="K355" s="84">
        <f t="shared" si="40"/>
        <v>20409</v>
      </c>
      <c r="L355" s="67">
        <f t="shared" si="38"/>
        <v>20409</v>
      </c>
    </row>
    <row r="356" spans="1:12" hidden="1" outlineLevel="1" x14ac:dyDescent="0.35">
      <c r="A356" s="93" t="s">
        <v>614</v>
      </c>
      <c r="B356" s="144" t="s">
        <v>615</v>
      </c>
      <c r="C356" s="26" t="s">
        <v>925</v>
      </c>
      <c r="D356" s="85"/>
      <c r="E356" s="63"/>
      <c r="F356" s="83"/>
      <c r="G356" s="64"/>
      <c r="H356" s="85"/>
      <c r="I356" s="67"/>
      <c r="J356" s="71"/>
      <c r="K356" s="84">
        <f t="shared" si="40"/>
        <v>0</v>
      </c>
      <c r="L356" s="67">
        <f t="shared" si="38"/>
        <v>0</v>
      </c>
    </row>
    <row r="357" spans="1:12" hidden="1" outlineLevel="1" x14ac:dyDescent="0.35">
      <c r="A357" s="93" t="s">
        <v>616</v>
      </c>
      <c r="B357" s="144" t="s">
        <v>617</v>
      </c>
      <c r="C357" s="26" t="s">
        <v>925</v>
      </c>
      <c r="D357" s="85"/>
      <c r="E357" s="63"/>
      <c r="F357" s="83"/>
      <c r="G357" s="64">
        <v>-562</v>
      </c>
      <c r="H357" s="85"/>
      <c r="I357" s="67">
        <v>-20409</v>
      </c>
      <c r="J357" s="71"/>
      <c r="K357" s="84">
        <f t="shared" si="40"/>
        <v>-20409</v>
      </c>
      <c r="L357" s="67">
        <f t="shared" si="38"/>
        <v>-20971</v>
      </c>
    </row>
    <row r="358" spans="1:12" hidden="1" outlineLevel="1" x14ac:dyDescent="0.35">
      <c r="A358" s="93" t="s">
        <v>618</v>
      </c>
      <c r="B358" s="144" t="s">
        <v>619</v>
      </c>
      <c r="C358" s="26" t="s">
        <v>925</v>
      </c>
      <c r="D358" s="85"/>
      <c r="E358" s="63"/>
      <c r="F358" s="83"/>
      <c r="G358" s="64"/>
      <c r="H358" s="85"/>
      <c r="I358" s="67"/>
      <c r="J358" s="71"/>
      <c r="K358" s="84">
        <f t="shared" si="40"/>
        <v>0</v>
      </c>
      <c r="L358" s="67">
        <f t="shared" si="38"/>
        <v>0</v>
      </c>
    </row>
    <row r="359" spans="1:12" hidden="1" outlineLevel="1" x14ac:dyDescent="0.35">
      <c r="A359" s="93" t="s">
        <v>620</v>
      </c>
      <c r="B359" s="144" t="s">
        <v>621</v>
      </c>
      <c r="C359" s="26" t="s">
        <v>925</v>
      </c>
      <c r="D359" s="85"/>
      <c r="E359" s="63">
        <v>81952</v>
      </c>
      <c r="F359" s="83"/>
      <c r="G359" s="64"/>
      <c r="H359" s="85"/>
      <c r="I359" s="67"/>
      <c r="J359" s="71"/>
      <c r="K359" s="84">
        <f t="shared" si="40"/>
        <v>0</v>
      </c>
      <c r="L359" s="67">
        <f t="shared" si="38"/>
        <v>81952</v>
      </c>
    </row>
    <row r="360" spans="1:12" hidden="1" outlineLevel="1" x14ac:dyDescent="0.35">
      <c r="A360" s="93" t="s">
        <v>622</v>
      </c>
      <c r="B360" s="144" t="s">
        <v>926</v>
      </c>
      <c r="C360" s="26" t="s">
        <v>925</v>
      </c>
      <c r="D360" s="85"/>
      <c r="E360" s="63"/>
      <c r="F360" s="83"/>
      <c r="G360" s="64">
        <v>13483</v>
      </c>
      <c r="H360" s="85"/>
      <c r="I360" s="67"/>
      <c r="J360" s="71"/>
      <c r="K360" s="84">
        <f t="shared" si="40"/>
        <v>0</v>
      </c>
      <c r="L360" s="67">
        <f t="shared" si="38"/>
        <v>13483</v>
      </c>
    </row>
    <row r="361" spans="1:12" hidden="1" outlineLevel="1" x14ac:dyDescent="0.35">
      <c r="A361" s="93" t="s">
        <v>623</v>
      </c>
      <c r="B361" s="144" t="s">
        <v>927</v>
      </c>
      <c r="C361" s="26" t="s">
        <v>925</v>
      </c>
      <c r="D361" s="85"/>
      <c r="E361" s="63"/>
      <c r="F361" s="83"/>
      <c r="G361" s="64">
        <v>1100</v>
      </c>
      <c r="H361" s="85"/>
      <c r="I361" s="67"/>
      <c r="J361" s="71"/>
      <c r="K361" s="84">
        <f t="shared" si="40"/>
        <v>0</v>
      </c>
      <c r="L361" s="67">
        <f t="shared" si="38"/>
        <v>1100</v>
      </c>
    </row>
    <row r="362" spans="1:12" hidden="1" outlineLevel="1" x14ac:dyDescent="0.35">
      <c r="A362" s="93" t="s">
        <v>624</v>
      </c>
      <c r="B362" s="144" t="s">
        <v>625</v>
      </c>
      <c r="C362" s="26" t="s">
        <v>925</v>
      </c>
      <c r="D362" s="85"/>
      <c r="E362" s="63"/>
      <c r="F362" s="83">
        <v>202986</v>
      </c>
      <c r="G362" s="64">
        <v>115700</v>
      </c>
      <c r="H362" s="85">
        <v>90380</v>
      </c>
      <c r="I362" s="67">
        <v>68950</v>
      </c>
      <c r="J362" s="71"/>
      <c r="K362" s="84">
        <f t="shared" si="40"/>
        <v>68950</v>
      </c>
      <c r="L362" s="67">
        <f t="shared" si="38"/>
        <v>478016</v>
      </c>
    </row>
    <row r="363" spans="1:12" hidden="1" outlineLevel="1" x14ac:dyDescent="0.35">
      <c r="A363" s="93" t="s">
        <v>626</v>
      </c>
      <c r="B363" s="144" t="s">
        <v>627</v>
      </c>
      <c r="C363" s="26" t="s">
        <v>925</v>
      </c>
      <c r="D363" s="85"/>
      <c r="E363" s="63"/>
      <c r="F363" s="83">
        <v>25172</v>
      </c>
      <c r="G363" s="64">
        <v>14292</v>
      </c>
      <c r="H363" s="85">
        <v>12849</v>
      </c>
      <c r="I363" s="67">
        <v>8534</v>
      </c>
      <c r="J363" s="71"/>
      <c r="K363" s="84">
        <f t="shared" si="40"/>
        <v>8534</v>
      </c>
      <c r="L363" s="67">
        <f t="shared" si="38"/>
        <v>60847</v>
      </c>
    </row>
    <row r="364" spans="1:12" hidden="1" outlineLevel="1" x14ac:dyDescent="0.35">
      <c r="A364" s="93" t="s">
        <v>628</v>
      </c>
      <c r="B364" s="144" t="s">
        <v>629</v>
      </c>
      <c r="C364" s="26" t="s">
        <v>925</v>
      </c>
      <c r="D364" s="85"/>
      <c r="E364" s="63"/>
      <c r="F364" s="83">
        <v>86562</v>
      </c>
      <c r="G364" s="64">
        <v>35520</v>
      </c>
      <c r="H364" s="85">
        <v>39355</v>
      </c>
      <c r="I364" s="67">
        <v>20409</v>
      </c>
      <c r="J364" s="71"/>
      <c r="K364" s="84">
        <f t="shared" si="40"/>
        <v>20409</v>
      </c>
      <c r="L364" s="67">
        <f t="shared" si="38"/>
        <v>181846</v>
      </c>
    </row>
    <row r="365" spans="1:12" hidden="1" outlineLevel="1" x14ac:dyDescent="0.35">
      <c r="A365" s="93" t="s">
        <v>630</v>
      </c>
      <c r="B365" s="144" t="s">
        <v>631</v>
      </c>
      <c r="C365" s="26" t="s">
        <v>925</v>
      </c>
      <c r="D365" s="85"/>
      <c r="E365" s="63"/>
      <c r="F365" s="83"/>
      <c r="G365" s="64"/>
      <c r="H365" s="85"/>
      <c r="I365" s="67"/>
      <c r="J365" s="71"/>
      <c r="K365" s="84">
        <f t="shared" si="40"/>
        <v>0</v>
      </c>
      <c r="L365" s="67">
        <f t="shared" si="38"/>
        <v>0</v>
      </c>
    </row>
    <row r="366" spans="1:12" hidden="1" outlineLevel="1" x14ac:dyDescent="0.35">
      <c r="A366" s="93" t="s">
        <v>632</v>
      </c>
      <c r="B366" s="144" t="s">
        <v>633</v>
      </c>
      <c r="C366" s="26" t="s">
        <v>925</v>
      </c>
      <c r="D366" s="85"/>
      <c r="E366" s="63"/>
      <c r="F366" s="83"/>
      <c r="G366" s="64">
        <v>988</v>
      </c>
      <c r="H366" s="85"/>
      <c r="I366" s="67"/>
      <c r="J366" s="71"/>
      <c r="K366" s="84">
        <f t="shared" si="40"/>
        <v>0</v>
      </c>
      <c r="L366" s="67">
        <f t="shared" si="38"/>
        <v>988</v>
      </c>
    </row>
    <row r="367" spans="1:12" hidden="1" outlineLevel="1" x14ac:dyDescent="0.35">
      <c r="A367" s="93" t="s">
        <v>634</v>
      </c>
      <c r="B367" s="144" t="s">
        <v>635</v>
      </c>
      <c r="C367" s="26" t="s">
        <v>925</v>
      </c>
      <c r="D367" s="85"/>
      <c r="E367" s="63"/>
      <c r="F367" s="83"/>
      <c r="G367" s="64"/>
      <c r="H367" s="85"/>
      <c r="I367" s="67"/>
      <c r="J367" s="71"/>
      <c r="K367" s="84">
        <f t="shared" si="40"/>
        <v>0</v>
      </c>
      <c r="L367" s="67">
        <f t="shared" si="38"/>
        <v>0</v>
      </c>
    </row>
    <row r="368" spans="1:12" hidden="1" outlineLevel="1" x14ac:dyDescent="0.35">
      <c r="A368" s="93" t="s">
        <v>636</v>
      </c>
      <c r="B368" s="144" t="s">
        <v>637</v>
      </c>
      <c r="C368" s="26" t="s">
        <v>925</v>
      </c>
      <c r="D368" s="85"/>
      <c r="E368" s="63"/>
      <c r="F368" s="83">
        <v>-67798</v>
      </c>
      <c r="G368" s="64"/>
      <c r="H368" s="85"/>
      <c r="I368" s="67"/>
      <c r="J368" s="71"/>
      <c r="K368" s="84">
        <f t="shared" si="40"/>
        <v>0</v>
      </c>
      <c r="L368" s="67">
        <f t="shared" si="38"/>
        <v>-67798</v>
      </c>
    </row>
    <row r="369" spans="1:12" hidden="1" outlineLevel="1" x14ac:dyDescent="0.35">
      <c r="A369" s="93" t="s">
        <v>638</v>
      </c>
      <c r="B369" s="144" t="s">
        <v>639</v>
      </c>
      <c r="C369" s="26" t="s">
        <v>925</v>
      </c>
      <c r="D369" s="85"/>
      <c r="E369" s="63"/>
      <c r="F369" s="83"/>
      <c r="G369" s="64"/>
      <c r="H369" s="85"/>
      <c r="I369" s="67"/>
      <c r="J369" s="71"/>
      <c r="K369" s="84">
        <f t="shared" si="40"/>
        <v>0</v>
      </c>
      <c r="L369" s="67">
        <f t="shared" si="38"/>
        <v>0</v>
      </c>
    </row>
    <row r="370" spans="1:12" hidden="1" outlineLevel="1" x14ac:dyDescent="0.35">
      <c r="A370" s="93" t="s">
        <v>640</v>
      </c>
      <c r="B370" s="144" t="s">
        <v>641</v>
      </c>
      <c r="C370" s="26" t="s">
        <v>925</v>
      </c>
      <c r="D370" s="85"/>
      <c r="E370" s="63"/>
      <c r="F370" s="83"/>
      <c r="G370" s="64"/>
      <c r="H370" s="85"/>
      <c r="I370" s="67"/>
      <c r="J370" s="71"/>
      <c r="K370" s="84">
        <f t="shared" si="40"/>
        <v>0</v>
      </c>
      <c r="L370" s="67">
        <f t="shared" si="38"/>
        <v>0</v>
      </c>
    </row>
    <row r="371" spans="1:12" hidden="1" outlineLevel="1" x14ac:dyDescent="0.35">
      <c r="A371" s="93" t="s">
        <v>642</v>
      </c>
      <c r="B371" s="144" t="s">
        <v>643</v>
      </c>
      <c r="C371" s="26" t="s">
        <v>925</v>
      </c>
      <c r="D371" s="85"/>
      <c r="E371" s="63"/>
      <c r="F371" s="83"/>
      <c r="G371" s="64"/>
      <c r="H371" s="85"/>
      <c r="I371" s="67"/>
      <c r="J371" s="71"/>
      <c r="K371" s="84">
        <f t="shared" si="40"/>
        <v>0</v>
      </c>
      <c r="L371" s="67">
        <f t="shared" si="38"/>
        <v>0</v>
      </c>
    </row>
    <row r="372" spans="1:12" hidden="1" outlineLevel="1" x14ac:dyDescent="0.35">
      <c r="A372" s="93" t="s">
        <v>644</v>
      </c>
      <c r="B372" s="144" t="s">
        <v>645</v>
      </c>
      <c r="C372" s="26" t="s">
        <v>925</v>
      </c>
      <c r="D372" s="85"/>
      <c r="E372" s="63"/>
      <c r="F372" s="83"/>
      <c r="G372" s="64"/>
      <c r="H372" s="85"/>
      <c r="I372" s="67"/>
      <c r="J372" s="71"/>
      <c r="K372" s="84">
        <f t="shared" si="40"/>
        <v>0</v>
      </c>
      <c r="L372" s="67">
        <f t="shared" si="38"/>
        <v>0</v>
      </c>
    </row>
    <row r="373" spans="1:12" hidden="1" outlineLevel="1" x14ac:dyDescent="0.35">
      <c r="A373" s="93" t="s">
        <v>646</v>
      </c>
      <c r="B373" s="144" t="s">
        <v>647</v>
      </c>
      <c r="C373" s="26" t="s">
        <v>925</v>
      </c>
      <c r="D373" s="85"/>
      <c r="E373" s="63"/>
      <c r="F373" s="83"/>
      <c r="G373" s="64">
        <v>591</v>
      </c>
      <c r="H373" s="85"/>
      <c r="I373" s="67">
        <v>334</v>
      </c>
      <c r="J373" s="71"/>
      <c r="K373" s="84">
        <f t="shared" si="40"/>
        <v>334</v>
      </c>
      <c r="L373" s="67">
        <f t="shared" si="38"/>
        <v>925</v>
      </c>
    </row>
    <row r="374" spans="1:12" hidden="1" outlineLevel="1" x14ac:dyDescent="0.35">
      <c r="A374" s="93" t="s">
        <v>648</v>
      </c>
      <c r="B374" s="144" t="s">
        <v>649</v>
      </c>
      <c r="C374" s="26" t="s">
        <v>925</v>
      </c>
      <c r="D374" s="85"/>
      <c r="E374" s="63"/>
      <c r="F374" s="83"/>
      <c r="G374" s="64"/>
      <c r="H374" s="85"/>
      <c r="I374" s="67"/>
      <c r="J374" s="71"/>
      <c r="K374" s="84">
        <f t="shared" si="40"/>
        <v>0</v>
      </c>
      <c r="L374" s="67">
        <f t="shared" si="38"/>
        <v>0</v>
      </c>
    </row>
    <row r="375" spans="1:12" hidden="1" outlineLevel="1" x14ac:dyDescent="0.35">
      <c r="A375" s="93" t="s">
        <v>650</v>
      </c>
      <c r="B375" s="144" t="s">
        <v>651</v>
      </c>
      <c r="C375" s="26" t="s">
        <v>925</v>
      </c>
      <c r="D375" s="85"/>
      <c r="E375" s="63"/>
      <c r="F375" s="83"/>
      <c r="G375" s="64"/>
      <c r="H375" s="85"/>
      <c r="I375" s="67"/>
      <c r="J375" s="71"/>
      <c r="K375" s="84">
        <f t="shared" si="40"/>
        <v>0</v>
      </c>
      <c r="L375" s="67">
        <f t="shared" si="38"/>
        <v>0</v>
      </c>
    </row>
    <row r="376" spans="1:12" hidden="1" outlineLevel="1" x14ac:dyDescent="0.35">
      <c r="A376" s="93" t="s">
        <v>652</v>
      </c>
      <c r="B376" s="144" t="s">
        <v>653</v>
      </c>
      <c r="C376" s="26" t="s">
        <v>925</v>
      </c>
      <c r="D376" s="85"/>
      <c r="E376" s="63"/>
      <c r="F376" s="83"/>
      <c r="G376" s="64">
        <v>3320</v>
      </c>
      <c r="H376" s="85"/>
      <c r="I376" s="67"/>
      <c r="J376" s="71"/>
      <c r="K376" s="84">
        <f t="shared" si="40"/>
        <v>0</v>
      </c>
      <c r="L376" s="67">
        <f t="shared" si="38"/>
        <v>3320</v>
      </c>
    </row>
    <row r="377" spans="1:12" hidden="1" outlineLevel="1" x14ac:dyDescent="0.35">
      <c r="A377" s="93" t="s">
        <v>654</v>
      </c>
      <c r="B377" s="144" t="s">
        <v>655</v>
      </c>
      <c r="C377" s="26" t="s">
        <v>925</v>
      </c>
      <c r="D377" s="85"/>
      <c r="E377" s="63"/>
      <c r="F377" s="83"/>
      <c r="G377" s="64"/>
      <c r="H377" s="85"/>
      <c r="I377" s="67"/>
      <c r="J377" s="71"/>
      <c r="K377" s="84">
        <f t="shared" si="40"/>
        <v>0</v>
      </c>
      <c r="L377" s="67">
        <f t="shared" si="38"/>
        <v>0</v>
      </c>
    </row>
    <row r="378" spans="1:12" hidden="1" outlineLevel="1" x14ac:dyDescent="0.35">
      <c r="A378" s="102" t="s">
        <v>656</v>
      </c>
      <c r="B378" s="152" t="s">
        <v>657</v>
      </c>
      <c r="C378" s="26" t="s">
        <v>925</v>
      </c>
      <c r="D378" s="85"/>
      <c r="E378" s="63"/>
      <c r="F378" s="83"/>
      <c r="G378" s="64"/>
      <c r="H378" s="85"/>
      <c r="I378" s="67"/>
      <c r="J378" s="71"/>
      <c r="K378" s="84">
        <f t="shared" si="40"/>
        <v>0</v>
      </c>
      <c r="L378" s="67">
        <f t="shared" si="38"/>
        <v>0</v>
      </c>
    </row>
    <row r="379" spans="1:12" hidden="1" outlineLevel="1" x14ac:dyDescent="0.35">
      <c r="A379" s="102" t="s">
        <v>658</v>
      </c>
      <c r="B379" s="152" t="s">
        <v>659</v>
      </c>
      <c r="C379" s="26" t="s">
        <v>925</v>
      </c>
      <c r="D379" s="85"/>
      <c r="E379" s="63"/>
      <c r="F379" s="83"/>
      <c r="G379" s="64"/>
      <c r="H379" s="85"/>
      <c r="I379" s="67"/>
      <c r="J379" s="71"/>
      <c r="K379" s="84">
        <f t="shared" si="40"/>
        <v>0</v>
      </c>
      <c r="L379" s="67">
        <f t="shared" si="38"/>
        <v>0</v>
      </c>
    </row>
    <row r="380" spans="1:12" hidden="1" outlineLevel="1" x14ac:dyDescent="0.35">
      <c r="A380" s="93" t="s">
        <v>660</v>
      </c>
      <c r="B380" s="144" t="s">
        <v>661</v>
      </c>
      <c r="C380" s="26" t="s">
        <v>925</v>
      </c>
      <c r="D380" s="85"/>
      <c r="E380" s="63"/>
      <c r="F380" s="83"/>
      <c r="G380" s="64"/>
      <c r="H380" s="85"/>
      <c r="I380" s="67"/>
      <c r="J380" s="71"/>
      <c r="K380" s="84">
        <f t="shared" si="40"/>
        <v>0</v>
      </c>
      <c r="L380" s="67">
        <f t="shared" si="38"/>
        <v>0</v>
      </c>
    </row>
    <row r="381" spans="1:12" hidden="1" outlineLevel="1" x14ac:dyDescent="0.35">
      <c r="A381" s="93" t="s">
        <v>662</v>
      </c>
      <c r="B381" s="144" t="s">
        <v>663</v>
      </c>
      <c r="C381" s="26" t="s">
        <v>925</v>
      </c>
      <c r="D381" s="85"/>
      <c r="E381" s="63"/>
      <c r="F381" s="83"/>
      <c r="G381" s="64">
        <v>35520</v>
      </c>
      <c r="H381" s="85"/>
      <c r="I381" s="67"/>
      <c r="J381" s="71"/>
      <c r="K381" s="84">
        <f t="shared" si="40"/>
        <v>0</v>
      </c>
      <c r="L381" s="67">
        <f t="shared" si="38"/>
        <v>35520</v>
      </c>
    </row>
    <row r="382" spans="1:12" hidden="1" outlineLevel="1" x14ac:dyDescent="0.35">
      <c r="A382" s="93" t="s">
        <v>664</v>
      </c>
      <c r="B382" s="144" t="s">
        <v>665</v>
      </c>
      <c r="C382" s="26" t="s">
        <v>925</v>
      </c>
      <c r="D382" s="85"/>
      <c r="E382" s="63"/>
      <c r="F382" s="83"/>
      <c r="G382" s="64">
        <v>-35520</v>
      </c>
      <c r="H382" s="85"/>
      <c r="I382" s="67"/>
      <c r="J382" s="71"/>
      <c r="K382" s="84">
        <f t="shared" si="40"/>
        <v>0</v>
      </c>
      <c r="L382" s="67">
        <f t="shared" si="38"/>
        <v>-35520</v>
      </c>
    </row>
    <row r="383" spans="1:12" hidden="1" outlineLevel="1" x14ac:dyDescent="0.35">
      <c r="A383" s="93" t="s">
        <v>666</v>
      </c>
      <c r="B383" s="144" t="s">
        <v>667</v>
      </c>
      <c r="C383" s="26" t="s">
        <v>925</v>
      </c>
      <c r="D383" s="85"/>
      <c r="E383" s="63"/>
      <c r="F383" s="83"/>
      <c r="G383" s="64">
        <v>660</v>
      </c>
      <c r="H383" s="85"/>
      <c r="I383" s="67"/>
      <c r="J383" s="71"/>
      <c r="K383" s="84">
        <f t="shared" si="40"/>
        <v>0</v>
      </c>
      <c r="L383" s="67">
        <f t="shared" si="38"/>
        <v>660</v>
      </c>
    </row>
    <row r="384" spans="1:12" hidden="1" outlineLevel="1" x14ac:dyDescent="0.35">
      <c r="A384" s="93" t="s">
        <v>668</v>
      </c>
      <c r="B384" s="144" t="s">
        <v>669</v>
      </c>
      <c r="C384" s="26" t="s">
        <v>925</v>
      </c>
      <c r="D384" s="85"/>
      <c r="E384" s="63"/>
      <c r="F384" s="83"/>
      <c r="G384" s="64"/>
      <c r="H384" s="85"/>
      <c r="I384" s="67">
        <v>105000</v>
      </c>
      <c r="J384" s="71"/>
      <c r="K384" s="84">
        <f t="shared" si="40"/>
        <v>105000</v>
      </c>
      <c r="L384" s="67">
        <f t="shared" si="38"/>
        <v>105000</v>
      </c>
    </row>
    <row r="385" spans="1:12" hidden="1" outlineLevel="1" x14ac:dyDescent="0.35">
      <c r="A385" s="93" t="s">
        <v>670</v>
      </c>
      <c r="B385" s="144" t="s">
        <v>671</v>
      </c>
      <c r="C385" s="26" t="s">
        <v>925</v>
      </c>
      <c r="D385" s="85"/>
      <c r="E385" s="63"/>
      <c r="F385" s="83"/>
      <c r="G385" s="64"/>
      <c r="H385" s="85"/>
      <c r="I385" s="67"/>
      <c r="J385" s="71"/>
      <c r="K385" s="84">
        <f t="shared" si="40"/>
        <v>0</v>
      </c>
      <c r="L385" s="67">
        <f t="shared" si="38"/>
        <v>0</v>
      </c>
    </row>
    <row r="386" spans="1:12" collapsed="1" x14ac:dyDescent="0.35">
      <c r="A386" s="93"/>
      <c r="B386" s="144" t="s">
        <v>928</v>
      </c>
      <c r="C386" s="26"/>
      <c r="D386" s="85">
        <f>SUM(D387:D391)</f>
        <v>0</v>
      </c>
      <c r="E386" s="65">
        <f t="shared" ref="E386:I386" si="42">SUM(E387:E391)</f>
        <v>0</v>
      </c>
      <c r="F386" s="85">
        <f t="shared" si="42"/>
        <v>56000</v>
      </c>
      <c r="G386" s="65">
        <f t="shared" si="42"/>
        <v>172700</v>
      </c>
      <c r="H386" s="85">
        <f t="shared" si="42"/>
        <v>0</v>
      </c>
      <c r="I386" s="65">
        <f t="shared" si="42"/>
        <v>0</v>
      </c>
      <c r="J386" s="71"/>
      <c r="K386" s="84">
        <f t="shared" si="40"/>
        <v>0</v>
      </c>
      <c r="L386" s="67">
        <f t="shared" si="38"/>
        <v>228700</v>
      </c>
    </row>
    <row r="387" spans="1:12" hidden="1" outlineLevel="1" x14ac:dyDescent="0.35">
      <c r="A387" s="93" t="s">
        <v>672</v>
      </c>
      <c r="B387" s="144" t="s">
        <v>673</v>
      </c>
      <c r="C387" s="26" t="s">
        <v>928</v>
      </c>
      <c r="D387" s="85"/>
      <c r="E387" s="63"/>
      <c r="F387" s="83"/>
      <c r="G387" s="64">
        <v>95976</v>
      </c>
      <c r="H387" s="85"/>
      <c r="I387" s="67"/>
      <c r="J387" s="71"/>
      <c r="K387" s="84">
        <f t="shared" si="40"/>
        <v>0</v>
      </c>
      <c r="L387" s="67">
        <f t="shared" si="38"/>
        <v>95976</v>
      </c>
    </row>
    <row r="388" spans="1:12" hidden="1" outlineLevel="1" x14ac:dyDescent="0.35">
      <c r="A388" s="93" t="s">
        <v>674</v>
      </c>
      <c r="B388" s="144" t="s">
        <v>46</v>
      </c>
      <c r="C388" s="26" t="s">
        <v>928</v>
      </c>
      <c r="D388" s="85"/>
      <c r="E388" s="63"/>
      <c r="F388" s="83"/>
      <c r="G388" s="64"/>
      <c r="H388" s="85"/>
      <c r="I388" s="67"/>
      <c r="J388" s="71"/>
      <c r="K388" s="84">
        <f t="shared" si="40"/>
        <v>0</v>
      </c>
      <c r="L388" s="67">
        <f t="shared" si="38"/>
        <v>0</v>
      </c>
    </row>
    <row r="389" spans="1:12" hidden="1" outlineLevel="1" x14ac:dyDescent="0.35">
      <c r="A389" s="93" t="s">
        <v>675</v>
      </c>
      <c r="B389" s="144" t="s">
        <v>676</v>
      </c>
      <c r="C389" s="26" t="s">
        <v>928</v>
      </c>
      <c r="D389" s="85"/>
      <c r="E389" s="63"/>
      <c r="F389" s="83">
        <v>56000</v>
      </c>
      <c r="G389" s="64">
        <v>76724</v>
      </c>
      <c r="H389" s="85"/>
      <c r="I389" s="67"/>
      <c r="J389" s="71"/>
      <c r="K389" s="84">
        <f t="shared" si="40"/>
        <v>0</v>
      </c>
      <c r="L389" s="67">
        <f t="shared" si="38"/>
        <v>132724</v>
      </c>
    </row>
    <row r="390" spans="1:12" hidden="1" outlineLevel="1" x14ac:dyDescent="0.35">
      <c r="A390" s="93" t="s">
        <v>677</v>
      </c>
      <c r="B390" s="144" t="s">
        <v>678</v>
      </c>
      <c r="C390" s="26" t="s">
        <v>928</v>
      </c>
      <c r="D390" s="85"/>
      <c r="E390" s="63"/>
      <c r="F390" s="83"/>
      <c r="G390" s="64"/>
      <c r="H390" s="85"/>
      <c r="I390" s="67"/>
      <c r="J390" s="71"/>
      <c r="K390" s="84">
        <f t="shared" si="40"/>
        <v>0</v>
      </c>
      <c r="L390" s="67">
        <f t="shared" si="38"/>
        <v>0</v>
      </c>
    </row>
    <row r="391" spans="1:12" collapsed="1" x14ac:dyDescent="0.35">
      <c r="A391" s="93" t="s">
        <v>679</v>
      </c>
      <c r="B391" s="144" t="s">
        <v>680</v>
      </c>
      <c r="C391" s="26" t="s">
        <v>929</v>
      </c>
      <c r="D391" s="85"/>
      <c r="E391" s="63"/>
      <c r="F391" s="83"/>
      <c r="G391" s="64"/>
      <c r="H391" s="85"/>
      <c r="I391" s="67"/>
      <c r="J391" s="71"/>
      <c r="K391" s="84">
        <f t="shared" si="40"/>
        <v>0</v>
      </c>
      <c r="L391" s="67">
        <f t="shared" si="38"/>
        <v>0</v>
      </c>
    </row>
    <row r="392" spans="1:12" s="24" customFormat="1" collapsed="1" x14ac:dyDescent="0.35">
      <c r="A392" s="99"/>
      <c r="B392" s="146" t="s">
        <v>930</v>
      </c>
      <c r="C392" s="97"/>
      <c r="D392" s="89">
        <f>SUM(D393:D470)</f>
        <v>1847389</v>
      </c>
      <c r="E392" s="80">
        <f t="shared" ref="E392:I392" si="43">SUM(E393:E470)</f>
        <v>398928</v>
      </c>
      <c r="F392" s="89">
        <f>SUM(F393:F471)</f>
        <v>3179869</v>
      </c>
      <c r="G392" s="89">
        <f t="shared" ref="G392:H392" si="44">SUM(G393:G471)</f>
        <v>2046195</v>
      </c>
      <c r="H392" s="89">
        <f t="shared" si="44"/>
        <v>2014517</v>
      </c>
      <c r="I392" s="80">
        <f t="shared" si="43"/>
        <v>149965</v>
      </c>
      <c r="J392" s="71">
        <f>J471</f>
        <v>370501</v>
      </c>
      <c r="K392" s="84">
        <f t="shared" si="40"/>
        <v>520466</v>
      </c>
      <c r="L392" s="67">
        <f t="shared" si="38"/>
        <v>10007364</v>
      </c>
    </row>
    <row r="393" spans="1:12" hidden="1" outlineLevel="1" x14ac:dyDescent="0.35">
      <c r="A393" s="93" t="s">
        <v>681</v>
      </c>
      <c r="B393" s="144" t="s">
        <v>682</v>
      </c>
      <c r="C393" s="26" t="s">
        <v>930</v>
      </c>
      <c r="D393" s="85"/>
      <c r="E393" s="63"/>
      <c r="F393" s="83"/>
      <c r="G393" s="64"/>
      <c r="H393" s="85"/>
      <c r="I393" s="67"/>
      <c r="J393" s="71"/>
      <c r="K393" s="84">
        <f t="shared" si="40"/>
        <v>0</v>
      </c>
      <c r="L393" s="67">
        <f t="shared" si="38"/>
        <v>0</v>
      </c>
    </row>
    <row r="394" spans="1:12" hidden="1" outlineLevel="1" x14ac:dyDescent="0.35">
      <c r="A394" s="93" t="s">
        <v>683</v>
      </c>
      <c r="B394" s="144" t="s">
        <v>684</v>
      </c>
      <c r="C394" s="26" t="s">
        <v>930</v>
      </c>
      <c r="D394" s="85"/>
      <c r="E394" s="63"/>
      <c r="F394" s="83"/>
      <c r="G394" s="64"/>
      <c r="H394" s="85"/>
      <c r="I394" s="67"/>
      <c r="J394" s="71"/>
      <c r="K394" s="84">
        <f t="shared" si="40"/>
        <v>0</v>
      </c>
      <c r="L394" s="67">
        <f t="shared" si="38"/>
        <v>0</v>
      </c>
    </row>
    <row r="395" spans="1:12" hidden="1" outlineLevel="1" x14ac:dyDescent="0.35">
      <c r="A395" s="93" t="s">
        <v>685</v>
      </c>
      <c r="B395" s="144" t="s">
        <v>686</v>
      </c>
      <c r="C395" s="26" t="s">
        <v>930</v>
      </c>
      <c r="D395" s="85"/>
      <c r="E395" s="63"/>
      <c r="F395" s="83"/>
      <c r="G395" s="64"/>
      <c r="H395" s="85"/>
      <c r="I395" s="67"/>
      <c r="J395" s="71"/>
      <c r="K395" s="84">
        <f t="shared" si="40"/>
        <v>0</v>
      </c>
      <c r="L395" s="67">
        <f t="shared" si="38"/>
        <v>0</v>
      </c>
    </row>
    <row r="396" spans="1:12" hidden="1" outlineLevel="1" x14ac:dyDescent="0.35">
      <c r="A396" s="93" t="s">
        <v>687</v>
      </c>
      <c r="B396" s="144" t="s">
        <v>688</v>
      </c>
      <c r="C396" s="26" t="s">
        <v>930</v>
      </c>
      <c r="D396" s="85"/>
      <c r="E396" s="63"/>
      <c r="F396" s="83"/>
      <c r="G396" s="64"/>
      <c r="H396" s="85"/>
      <c r="I396" s="67"/>
      <c r="J396" s="71"/>
      <c r="K396" s="84">
        <f t="shared" si="40"/>
        <v>0</v>
      </c>
      <c r="L396" s="67">
        <f t="shared" si="38"/>
        <v>0</v>
      </c>
    </row>
    <row r="397" spans="1:12" hidden="1" outlineLevel="1" x14ac:dyDescent="0.35">
      <c r="A397" s="93" t="s">
        <v>689</v>
      </c>
      <c r="B397" s="144" t="s">
        <v>690</v>
      </c>
      <c r="C397" s="26" t="s">
        <v>930</v>
      </c>
      <c r="D397" s="85"/>
      <c r="E397" s="63"/>
      <c r="F397" s="83"/>
      <c r="G397" s="64"/>
      <c r="H397" s="85"/>
      <c r="I397" s="67"/>
      <c r="J397" s="71"/>
      <c r="K397" s="84">
        <f t="shared" si="40"/>
        <v>0</v>
      </c>
      <c r="L397" s="67">
        <f t="shared" si="38"/>
        <v>0</v>
      </c>
    </row>
    <row r="398" spans="1:12" hidden="1" outlineLevel="1" x14ac:dyDescent="0.35">
      <c r="A398" s="93" t="s">
        <v>691</v>
      </c>
      <c r="B398" s="144" t="s">
        <v>692</v>
      </c>
      <c r="C398" s="26" t="s">
        <v>930</v>
      </c>
      <c r="D398" s="85"/>
      <c r="E398" s="63"/>
      <c r="F398" s="83">
        <f>18588+192642</f>
        <v>211230</v>
      </c>
      <c r="G398" s="64">
        <v>66019</v>
      </c>
      <c r="H398" s="85">
        <v>93252</v>
      </c>
      <c r="I398" s="67">
        <f>6169+6169+6169+6169</f>
        <v>24676</v>
      </c>
      <c r="J398" s="71"/>
      <c r="K398" s="84">
        <f t="shared" si="40"/>
        <v>24676</v>
      </c>
      <c r="L398" s="67">
        <f t="shared" si="38"/>
        <v>395177</v>
      </c>
    </row>
    <row r="399" spans="1:12" hidden="1" outlineLevel="1" x14ac:dyDescent="0.35">
      <c r="A399" s="93" t="s">
        <v>693</v>
      </c>
      <c r="B399" s="144" t="s">
        <v>694</v>
      </c>
      <c r="C399" s="26" t="s">
        <v>930</v>
      </c>
      <c r="D399" s="85"/>
      <c r="E399" s="63"/>
      <c r="F399" s="83">
        <v>22536</v>
      </c>
      <c r="G399" s="64">
        <v>7706</v>
      </c>
      <c r="H399" s="85">
        <v>5540</v>
      </c>
      <c r="I399" s="67"/>
      <c r="J399" s="71"/>
      <c r="K399" s="84">
        <f t="shared" si="40"/>
        <v>0</v>
      </c>
      <c r="L399" s="67">
        <f t="shared" si="38"/>
        <v>35782</v>
      </c>
    </row>
    <row r="400" spans="1:12" hidden="1" outlineLevel="1" x14ac:dyDescent="0.35">
      <c r="A400" s="93" t="s">
        <v>695</v>
      </c>
      <c r="B400" s="144" t="s">
        <v>696</v>
      </c>
      <c r="C400" s="26" t="s">
        <v>930</v>
      </c>
      <c r="D400" s="85">
        <v>6447</v>
      </c>
      <c r="E400" s="63">
        <v>13417</v>
      </c>
      <c r="F400" s="83"/>
      <c r="G400" s="64">
        <v>3074</v>
      </c>
      <c r="H400" s="85"/>
      <c r="I400" s="67"/>
      <c r="J400" s="71"/>
      <c r="K400" s="84">
        <f t="shared" si="40"/>
        <v>0</v>
      </c>
      <c r="L400" s="67">
        <f t="shared" si="38"/>
        <v>22938</v>
      </c>
    </row>
    <row r="401" spans="1:12" hidden="1" outlineLevel="1" x14ac:dyDescent="0.35">
      <c r="A401" s="93" t="s">
        <v>697</v>
      </c>
      <c r="B401" s="144" t="s">
        <v>698</v>
      </c>
      <c r="C401" s="26" t="s">
        <v>930</v>
      </c>
      <c r="D401" s="85">
        <v>21272</v>
      </c>
      <c r="E401" s="63">
        <v>30432</v>
      </c>
      <c r="F401" s="83">
        <v>46793</v>
      </c>
      <c r="G401" s="64">
        <v>111663</v>
      </c>
      <c r="H401" s="85">
        <v>99615</v>
      </c>
      <c r="I401" s="67"/>
      <c r="J401" s="71"/>
      <c r="K401" s="84">
        <f t="shared" si="40"/>
        <v>0</v>
      </c>
      <c r="L401" s="67">
        <f t="shared" si="38"/>
        <v>309775</v>
      </c>
    </row>
    <row r="402" spans="1:12" hidden="1" outlineLevel="1" x14ac:dyDescent="0.35">
      <c r="A402" s="93" t="s">
        <v>699</v>
      </c>
      <c r="B402" s="144" t="s">
        <v>700</v>
      </c>
      <c r="C402" s="26" t="s">
        <v>930</v>
      </c>
      <c r="D402" s="83">
        <v>1807</v>
      </c>
      <c r="E402" s="63"/>
      <c r="F402" s="83"/>
      <c r="G402" s="64">
        <v>779</v>
      </c>
      <c r="H402" s="85">
        <v>40533</v>
      </c>
      <c r="I402" s="67"/>
      <c r="J402" s="71"/>
      <c r="K402" s="84">
        <f t="shared" si="40"/>
        <v>0</v>
      </c>
      <c r="L402" s="67">
        <f t="shared" si="38"/>
        <v>43119</v>
      </c>
    </row>
    <row r="403" spans="1:12" hidden="1" outlineLevel="1" x14ac:dyDescent="0.35">
      <c r="A403" s="93" t="s">
        <v>701</v>
      </c>
      <c r="B403" s="144" t="s">
        <v>702</v>
      </c>
      <c r="C403" s="26" t="s">
        <v>930</v>
      </c>
      <c r="D403" s="85"/>
      <c r="E403" s="63"/>
      <c r="F403" s="83"/>
      <c r="G403" s="64"/>
      <c r="H403" s="85"/>
      <c r="I403" s="67"/>
      <c r="J403" s="71"/>
      <c r="K403" s="84">
        <f t="shared" ref="K403:K466" si="45">J403+I403</f>
        <v>0</v>
      </c>
      <c r="L403" s="67">
        <f t="shared" ref="L403:L466" si="46">K403+D403+E403+F403+G403+H403</f>
        <v>0</v>
      </c>
    </row>
    <row r="404" spans="1:12" hidden="1" outlineLevel="1" x14ac:dyDescent="0.35">
      <c r="A404" s="93" t="s">
        <v>703</v>
      </c>
      <c r="B404" s="144" t="s">
        <v>704</v>
      </c>
      <c r="C404" s="26" t="s">
        <v>930</v>
      </c>
      <c r="D404" s="85"/>
      <c r="E404" s="63"/>
      <c r="F404" s="83"/>
      <c r="G404" s="64"/>
      <c r="H404" s="85"/>
      <c r="I404" s="67"/>
      <c r="J404" s="71"/>
      <c r="K404" s="84">
        <f t="shared" si="45"/>
        <v>0</v>
      </c>
      <c r="L404" s="67">
        <f t="shared" si="46"/>
        <v>0</v>
      </c>
    </row>
    <row r="405" spans="1:12" hidden="1" outlineLevel="1" x14ac:dyDescent="0.35">
      <c r="A405" s="93" t="s">
        <v>705</v>
      </c>
      <c r="B405" s="144" t="s">
        <v>706</v>
      </c>
      <c r="C405" s="26" t="s">
        <v>930</v>
      </c>
      <c r="D405" s="85"/>
      <c r="E405" s="63"/>
      <c r="F405" s="83"/>
      <c r="G405" s="64">
        <v>406462</v>
      </c>
      <c r="H405" s="85"/>
      <c r="I405" s="67"/>
      <c r="J405" s="71"/>
      <c r="K405" s="84">
        <f t="shared" si="45"/>
        <v>0</v>
      </c>
      <c r="L405" s="67">
        <f t="shared" si="46"/>
        <v>406462</v>
      </c>
    </row>
    <row r="406" spans="1:12" hidden="1" outlineLevel="1" x14ac:dyDescent="0.35">
      <c r="A406" s="93" t="s">
        <v>707</v>
      </c>
      <c r="B406" s="144" t="s">
        <v>708</v>
      </c>
      <c r="C406" s="26" t="s">
        <v>930</v>
      </c>
      <c r="D406" s="85"/>
      <c r="E406" s="63"/>
      <c r="F406" s="83"/>
      <c r="G406" s="64">
        <v>1599</v>
      </c>
      <c r="H406" s="85"/>
      <c r="I406" s="67"/>
      <c r="J406" s="71"/>
      <c r="K406" s="84">
        <f t="shared" si="45"/>
        <v>0</v>
      </c>
      <c r="L406" s="67">
        <f t="shared" si="46"/>
        <v>1599</v>
      </c>
    </row>
    <row r="407" spans="1:12" hidden="1" outlineLevel="1" x14ac:dyDescent="0.35">
      <c r="A407" s="93" t="s">
        <v>709</v>
      </c>
      <c r="B407" s="144" t="s">
        <v>710</v>
      </c>
      <c r="C407" s="26" t="s">
        <v>930</v>
      </c>
      <c r="D407" s="85"/>
      <c r="E407" s="63"/>
      <c r="F407" s="83"/>
      <c r="G407" s="64"/>
      <c r="H407" s="85"/>
      <c r="I407" s="67"/>
      <c r="J407" s="71"/>
      <c r="K407" s="84">
        <f t="shared" si="45"/>
        <v>0</v>
      </c>
      <c r="L407" s="67">
        <f t="shared" si="46"/>
        <v>0</v>
      </c>
    </row>
    <row r="408" spans="1:12" hidden="1" outlineLevel="1" x14ac:dyDescent="0.35">
      <c r="A408" s="93" t="s">
        <v>711</v>
      </c>
      <c r="B408" s="144" t="s">
        <v>712</v>
      </c>
      <c r="C408" s="26" t="s">
        <v>930</v>
      </c>
      <c r="D408" s="85"/>
      <c r="E408" s="63"/>
      <c r="F408" s="83"/>
      <c r="G408" s="64">
        <v>4015</v>
      </c>
      <c r="H408" s="85">
        <v>82592</v>
      </c>
      <c r="I408" s="67"/>
      <c r="J408" s="71"/>
      <c r="K408" s="84">
        <f t="shared" si="45"/>
        <v>0</v>
      </c>
      <c r="L408" s="67">
        <f t="shared" si="46"/>
        <v>86607</v>
      </c>
    </row>
    <row r="409" spans="1:12" hidden="1" outlineLevel="1" x14ac:dyDescent="0.35">
      <c r="A409" s="93" t="s">
        <v>713</v>
      </c>
      <c r="B409" s="144" t="s">
        <v>714</v>
      </c>
      <c r="C409" s="26" t="s">
        <v>930</v>
      </c>
      <c r="D409" s="85"/>
      <c r="E409" s="63"/>
      <c r="F409" s="83"/>
      <c r="G409" s="64">
        <v>8179</v>
      </c>
      <c r="H409" s="85"/>
      <c r="I409" s="67"/>
      <c r="J409" s="71"/>
      <c r="K409" s="84">
        <f t="shared" si="45"/>
        <v>0</v>
      </c>
      <c r="L409" s="67">
        <f t="shared" si="46"/>
        <v>8179</v>
      </c>
    </row>
    <row r="410" spans="1:12" hidden="1" outlineLevel="1" x14ac:dyDescent="0.35">
      <c r="A410" s="93" t="s">
        <v>715</v>
      </c>
      <c r="B410" s="144" t="s">
        <v>716</v>
      </c>
      <c r="C410" s="26" t="s">
        <v>930</v>
      </c>
      <c r="D410" s="85"/>
      <c r="E410" s="63"/>
      <c r="F410" s="83"/>
      <c r="G410" s="64"/>
      <c r="H410" s="85"/>
      <c r="I410" s="67"/>
      <c r="J410" s="71"/>
      <c r="K410" s="84">
        <f t="shared" si="45"/>
        <v>0</v>
      </c>
      <c r="L410" s="67">
        <f t="shared" si="46"/>
        <v>0</v>
      </c>
    </row>
    <row r="411" spans="1:12" hidden="1" outlineLevel="1" x14ac:dyDescent="0.35">
      <c r="A411" s="93" t="s">
        <v>717</v>
      </c>
      <c r="B411" s="144" t="s">
        <v>718</v>
      </c>
      <c r="C411" s="26" t="s">
        <v>930</v>
      </c>
      <c r="D411" s="85"/>
      <c r="E411" s="63"/>
      <c r="F411" s="83"/>
      <c r="G411" s="64"/>
      <c r="H411" s="85"/>
      <c r="I411" s="67"/>
      <c r="J411" s="71"/>
      <c r="K411" s="84">
        <f t="shared" si="45"/>
        <v>0</v>
      </c>
      <c r="L411" s="67">
        <f t="shared" si="46"/>
        <v>0</v>
      </c>
    </row>
    <row r="412" spans="1:12" hidden="1" outlineLevel="1" x14ac:dyDescent="0.35">
      <c r="A412" s="93" t="s">
        <v>719</v>
      </c>
      <c r="B412" s="144" t="s">
        <v>720</v>
      </c>
      <c r="C412" s="26" t="s">
        <v>930</v>
      </c>
      <c r="D412" s="85">
        <v>1010</v>
      </c>
      <c r="E412" s="63">
        <v>22396</v>
      </c>
      <c r="F412" s="83"/>
      <c r="G412" s="64"/>
      <c r="H412" s="85">
        <f>34484+3541</f>
        <v>38025</v>
      </c>
      <c r="I412" s="67"/>
      <c r="J412" s="71"/>
      <c r="K412" s="84">
        <f t="shared" si="45"/>
        <v>0</v>
      </c>
      <c r="L412" s="67">
        <f t="shared" si="46"/>
        <v>61431</v>
      </c>
    </row>
    <row r="413" spans="1:12" hidden="1" outlineLevel="1" x14ac:dyDescent="0.35">
      <c r="A413" s="93" t="s">
        <v>721</v>
      </c>
      <c r="B413" s="144" t="s">
        <v>722</v>
      </c>
      <c r="C413" s="26" t="s">
        <v>930</v>
      </c>
      <c r="D413" s="85">
        <v>1398</v>
      </c>
      <c r="E413" s="63"/>
      <c r="F413" s="83">
        <v>51270</v>
      </c>
      <c r="G413" s="64">
        <v>102467</v>
      </c>
      <c r="H413" s="85">
        <v>261216</v>
      </c>
      <c r="I413" s="67"/>
      <c r="J413" s="71"/>
      <c r="K413" s="84">
        <f t="shared" si="45"/>
        <v>0</v>
      </c>
      <c r="L413" s="67">
        <f t="shared" si="46"/>
        <v>416351</v>
      </c>
    </row>
    <row r="414" spans="1:12" hidden="1" outlineLevel="1" x14ac:dyDescent="0.35">
      <c r="A414" s="93" t="s">
        <v>723</v>
      </c>
      <c r="B414" s="144" t="s">
        <v>724</v>
      </c>
      <c r="C414" s="26" t="s">
        <v>930</v>
      </c>
      <c r="D414" s="85">
        <v>1576</v>
      </c>
      <c r="E414" s="63">
        <v>105050</v>
      </c>
      <c r="F414" s="83">
        <v>503986</v>
      </c>
      <c r="G414" s="64">
        <v>137776</v>
      </c>
      <c r="H414" s="85">
        <f>27974+58308</f>
        <v>86282</v>
      </c>
      <c r="I414" s="67">
        <f>86+658</f>
        <v>744</v>
      </c>
      <c r="J414" s="71"/>
      <c r="K414" s="84">
        <f t="shared" si="45"/>
        <v>744</v>
      </c>
      <c r="L414" s="67">
        <f t="shared" si="46"/>
        <v>835414</v>
      </c>
    </row>
    <row r="415" spans="1:12" hidden="1" outlineLevel="1" x14ac:dyDescent="0.35">
      <c r="A415" s="93" t="s">
        <v>725</v>
      </c>
      <c r="B415" s="144" t="s">
        <v>726</v>
      </c>
      <c r="C415" s="26" t="s">
        <v>930</v>
      </c>
      <c r="D415" s="85"/>
      <c r="E415" s="63"/>
      <c r="F415" s="83"/>
      <c r="G415" s="64">
        <v>10909</v>
      </c>
      <c r="H415" s="85"/>
      <c r="I415" s="67"/>
      <c r="J415" s="71"/>
      <c r="K415" s="84">
        <f t="shared" si="45"/>
        <v>0</v>
      </c>
      <c r="L415" s="67">
        <f t="shared" si="46"/>
        <v>10909</v>
      </c>
    </row>
    <row r="416" spans="1:12" hidden="1" outlineLevel="1" x14ac:dyDescent="0.35">
      <c r="A416" s="93" t="s">
        <v>727</v>
      </c>
      <c r="B416" s="144" t="s">
        <v>728</v>
      </c>
      <c r="C416" s="26" t="s">
        <v>930</v>
      </c>
      <c r="D416" s="85"/>
      <c r="E416" s="63"/>
      <c r="F416" s="83"/>
      <c r="G416" s="64"/>
      <c r="H416" s="85"/>
      <c r="I416" s="67"/>
      <c r="J416" s="71"/>
      <c r="K416" s="84">
        <f t="shared" si="45"/>
        <v>0</v>
      </c>
      <c r="L416" s="67">
        <f t="shared" si="46"/>
        <v>0</v>
      </c>
    </row>
    <row r="417" spans="1:12" hidden="1" outlineLevel="1" x14ac:dyDescent="0.35">
      <c r="A417" s="93" t="s">
        <v>729</v>
      </c>
      <c r="B417" s="144" t="s">
        <v>730</v>
      </c>
      <c r="C417" s="26" t="s">
        <v>930</v>
      </c>
      <c r="D417" s="85"/>
      <c r="E417" s="63"/>
      <c r="F417" s="83"/>
      <c r="G417" s="64"/>
      <c r="H417" s="85"/>
      <c r="I417" s="67"/>
      <c r="J417" s="71"/>
      <c r="K417" s="84">
        <f t="shared" si="45"/>
        <v>0</v>
      </c>
      <c r="L417" s="67">
        <f t="shared" si="46"/>
        <v>0</v>
      </c>
    </row>
    <row r="418" spans="1:12" hidden="1" outlineLevel="1" x14ac:dyDescent="0.35">
      <c r="A418" s="93" t="s">
        <v>731</v>
      </c>
      <c r="B418" s="144" t="s">
        <v>732</v>
      </c>
      <c r="C418" s="26" t="s">
        <v>930</v>
      </c>
      <c r="D418" s="85"/>
      <c r="E418" s="63"/>
      <c r="F418" s="83"/>
      <c r="G418" s="64">
        <v>75974</v>
      </c>
      <c r="H418" s="85">
        <v>4034</v>
      </c>
      <c r="I418" s="67">
        <v>377</v>
      </c>
      <c r="J418" s="71"/>
      <c r="K418" s="84">
        <f t="shared" si="45"/>
        <v>377</v>
      </c>
      <c r="L418" s="67">
        <f t="shared" si="46"/>
        <v>80385</v>
      </c>
    </row>
    <row r="419" spans="1:12" hidden="1" outlineLevel="1" x14ac:dyDescent="0.35">
      <c r="A419" s="93" t="s">
        <v>733</v>
      </c>
      <c r="B419" s="144" t="s">
        <v>734</v>
      </c>
      <c r="C419" s="26" t="s">
        <v>930</v>
      </c>
      <c r="D419" s="85"/>
      <c r="E419" s="63">
        <v>26415</v>
      </c>
      <c r="F419" s="83"/>
      <c r="G419" s="64">
        <v>37992</v>
      </c>
      <c r="H419" s="85"/>
      <c r="I419" s="67"/>
      <c r="J419" s="71"/>
      <c r="K419" s="84">
        <f t="shared" si="45"/>
        <v>0</v>
      </c>
      <c r="L419" s="67">
        <f t="shared" si="46"/>
        <v>64407</v>
      </c>
    </row>
    <row r="420" spans="1:12" hidden="1" outlineLevel="1" x14ac:dyDescent="0.35">
      <c r="A420" s="93" t="s">
        <v>735</v>
      </c>
      <c r="B420" s="144" t="s">
        <v>736</v>
      </c>
      <c r="C420" s="26" t="s">
        <v>930</v>
      </c>
      <c r="D420" s="85">
        <v>3486</v>
      </c>
      <c r="E420" s="63">
        <v>28460</v>
      </c>
      <c r="F420" s="83">
        <v>1029911</v>
      </c>
      <c r="G420" s="64">
        <v>467116</v>
      </c>
      <c r="H420" s="85">
        <v>350755</v>
      </c>
      <c r="I420" s="67"/>
      <c r="J420" s="71"/>
      <c r="K420" s="84">
        <f t="shared" si="45"/>
        <v>0</v>
      </c>
      <c r="L420" s="67">
        <f t="shared" si="46"/>
        <v>1879728</v>
      </c>
    </row>
    <row r="421" spans="1:12" hidden="1" outlineLevel="1" x14ac:dyDescent="0.35">
      <c r="A421" s="93" t="s">
        <v>737</v>
      </c>
      <c r="B421" s="144" t="s">
        <v>738</v>
      </c>
      <c r="C421" s="26" t="s">
        <v>930</v>
      </c>
      <c r="D421" s="85"/>
      <c r="E421" s="63"/>
      <c r="F421" s="83"/>
      <c r="G421" s="64">
        <v>24515</v>
      </c>
      <c r="H421" s="85"/>
      <c r="I421" s="67"/>
      <c r="J421" s="71"/>
      <c r="K421" s="84">
        <f t="shared" si="45"/>
        <v>0</v>
      </c>
      <c r="L421" s="67">
        <f t="shared" si="46"/>
        <v>24515</v>
      </c>
    </row>
    <row r="422" spans="1:12" hidden="1" outlineLevel="1" x14ac:dyDescent="0.35">
      <c r="A422" s="93" t="s">
        <v>739</v>
      </c>
      <c r="B422" s="144" t="s">
        <v>740</v>
      </c>
      <c r="C422" s="26" t="s">
        <v>930</v>
      </c>
      <c r="D422" s="85">
        <v>1764001</v>
      </c>
      <c r="E422" s="63"/>
      <c r="F422" s="83"/>
      <c r="G422" s="64">
        <v>5011</v>
      </c>
      <c r="H422" s="85">
        <v>2541</v>
      </c>
      <c r="I422" s="67"/>
      <c r="J422" s="71"/>
      <c r="K422" s="84">
        <f t="shared" si="45"/>
        <v>0</v>
      </c>
      <c r="L422" s="67">
        <f t="shared" si="46"/>
        <v>1771553</v>
      </c>
    </row>
    <row r="423" spans="1:12" hidden="1" outlineLevel="1" x14ac:dyDescent="0.35">
      <c r="A423" s="93" t="s">
        <v>741</v>
      </c>
      <c r="B423" s="144" t="s">
        <v>742</v>
      </c>
      <c r="C423" s="26" t="s">
        <v>930</v>
      </c>
      <c r="D423" s="85"/>
      <c r="E423" s="63"/>
      <c r="F423" s="83"/>
      <c r="G423" s="64">
        <v>60288</v>
      </c>
      <c r="H423" s="85">
        <f>65043+103257</f>
        <v>168300</v>
      </c>
      <c r="I423" s="67"/>
      <c r="J423" s="71"/>
      <c r="K423" s="84">
        <f t="shared" si="45"/>
        <v>0</v>
      </c>
      <c r="L423" s="67">
        <f t="shared" si="46"/>
        <v>228588</v>
      </c>
    </row>
    <row r="424" spans="1:12" hidden="1" outlineLevel="1" x14ac:dyDescent="0.35">
      <c r="A424" s="93" t="s">
        <v>743</v>
      </c>
      <c r="B424" s="144" t="s">
        <v>744</v>
      </c>
      <c r="C424" s="26" t="s">
        <v>930</v>
      </c>
      <c r="D424" s="85"/>
      <c r="E424" s="63"/>
      <c r="F424" s="83"/>
      <c r="G424" s="64"/>
      <c r="H424" s="85"/>
      <c r="I424" s="67"/>
      <c r="J424" s="71"/>
      <c r="K424" s="84">
        <f t="shared" si="45"/>
        <v>0</v>
      </c>
      <c r="L424" s="67">
        <f t="shared" si="46"/>
        <v>0</v>
      </c>
    </row>
    <row r="425" spans="1:12" hidden="1" outlineLevel="1" x14ac:dyDescent="0.35">
      <c r="A425" s="93" t="s">
        <v>745</v>
      </c>
      <c r="B425" s="144" t="s">
        <v>746</v>
      </c>
      <c r="C425" s="26" t="s">
        <v>930</v>
      </c>
      <c r="D425" s="85"/>
      <c r="E425" s="63"/>
      <c r="F425" s="83">
        <v>137624</v>
      </c>
      <c r="G425" s="64">
        <v>106730</v>
      </c>
      <c r="H425" s="85">
        <v>148702</v>
      </c>
      <c r="I425" s="67">
        <f>2294+14991+6233+2063+7347+3431</f>
        <v>36359</v>
      </c>
      <c r="J425" s="71"/>
      <c r="K425" s="84">
        <f t="shared" si="45"/>
        <v>36359</v>
      </c>
      <c r="L425" s="67">
        <f t="shared" si="46"/>
        <v>429415</v>
      </c>
    </row>
    <row r="426" spans="1:12" hidden="1" outlineLevel="1" x14ac:dyDescent="0.35">
      <c r="A426" s="93" t="s">
        <v>747</v>
      </c>
      <c r="B426" s="144" t="s">
        <v>748</v>
      </c>
      <c r="C426" s="26" t="s">
        <v>930</v>
      </c>
      <c r="D426" s="85">
        <v>2535</v>
      </c>
      <c r="E426" s="63">
        <v>5250</v>
      </c>
      <c r="F426" s="83"/>
      <c r="G426" s="64">
        <v>20421</v>
      </c>
      <c r="H426" s="85"/>
      <c r="I426" s="67">
        <f>841+345+251</f>
        <v>1437</v>
      </c>
      <c r="J426" s="71"/>
      <c r="K426" s="84">
        <f t="shared" si="45"/>
        <v>1437</v>
      </c>
      <c r="L426" s="67">
        <f t="shared" si="46"/>
        <v>29643</v>
      </c>
    </row>
    <row r="427" spans="1:12" hidden="1" outlineLevel="1" x14ac:dyDescent="0.35">
      <c r="A427" s="93" t="s">
        <v>749</v>
      </c>
      <c r="B427" s="144" t="s">
        <v>750</v>
      </c>
      <c r="C427" s="26" t="s">
        <v>930</v>
      </c>
      <c r="D427" s="85"/>
      <c r="E427" s="63"/>
      <c r="F427" s="83"/>
      <c r="G427" s="64">
        <v>8000</v>
      </c>
      <c r="H427" s="85"/>
      <c r="I427" s="67"/>
      <c r="J427" s="71"/>
      <c r="K427" s="84">
        <f t="shared" si="45"/>
        <v>0</v>
      </c>
      <c r="L427" s="67">
        <f t="shared" si="46"/>
        <v>8000</v>
      </c>
    </row>
    <row r="428" spans="1:12" hidden="1" outlineLevel="1" x14ac:dyDescent="0.35">
      <c r="A428" s="93" t="s">
        <v>751</v>
      </c>
      <c r="B428" s="144" t="s">
        <v>752</v>
      </c>
      <c r="C428" s="26" t="s">
        <v>930</v>
      </c>
      <c r="D428" s="85"/>
      <c r="E428" s="63"/>
      <c r="F428" s="83"/>
      <c r="G428" s="64">
        <v>9000</v>
      </c>
      <c r="H428" s="85"/>
      <c r="I428" s="67"/>
      <c r="J428" s="71"/>
      <c r="K428" s="84">
        <f t="shared" si="45"/>
        <v>0</v>
      </c>
      <c r="L428" s="67">
        <f t="shared" si="46"/>
        <v>9000</v>
      </c>
    </row>
    <row r="429" spans="1:12" hidden="1" outlineLevel="1" x14ac:dyDescent="0.35">
      <c r="A429" s="93" t="s">
        <v>753</v>
      </c>
      <c r="B429" s="144" t="s">
        <v>754</v>
      </c>
      <c r="C429" s="26" t="s">
        <v>930</v>
      </c>
      <c r="D429" s="85"/>
      <c r="E429" s="63"/>
      <c r="F429" s="83">
        <v>2485</v>
      </c>
      <c r="G429" s="64">
        <v>2484</v>
      </c>
      <c r="H429" s="85">
        <v>28965</v>
      </c>
      <c r="I429" s="67"/>
      <c r="J429" s="71"/>
      <c r="K429" s="84">
        <f t="shared" si="45"/>
        <v>0</v>
      </c>
      <c r="L429" s="67">
        <f t="shared" si="46"/>
        <v>33934</v>
      </c>
    </row>
    <row r="430" spans="1:12" hidden="1" outlineLevel="1" x14ac:dyDescent="0.35">
      <c r="A430" s="93" t="s">
        <v>755</v>
      </c>
      <c r="B430" s="144" t="s">
        <v>756</v>
      </c>
      <c r="C430" s="26" t="s">
        <v>930</v>
      </c>
      <c r="D430" s="85"/>
      <c r="E430" s="63">
        <v>8995</v>
      </c>
      <c r="F430" s="83">
        <v>21633</v>
      </c>
      <c r="G430" s="64">
        <v>4334</v>
      </c>
      <c r="H430" s="85">
        <f>3752+6729</f>
        <v>10481</v>
      </c>
      <c r="I430" s="67"/>
      <c r="J430" s="71"/>
      <c r="K430" s="84">
        <f t="shared" si="45"/>
        <v>0</v>
      </c>
      <c r="L430" s="67">
        <f t="shared" si="46"/>
        <v>45443</v>
      </c>
    </row>
    <row r="431" spans="1:12" hidden="1" outlineLevel="1" x14ac:dyDescent="0.35">
      <c r="A431" s="93" t="s">
        <v>757</v>
      </c>
      <c r="B431" s="144" t="s">
        <v>758</v>
      </c>
      <c r="C431" s="26" t="s">
        <v>930</v>
      </c>
      <c r="D431" s="85"/>
      <c r="E431" s="63"/>
      <c r="F431" s="83"/>
      <c r="G431" s="64"/>
      <c r="H431" s="85"/>
      <c r="I431" s="67"/>
      <c r="J431" s="71"/>
      <c r="K431" s="84">
        <f t="shared" si="45"/>
        <v>0</v>
      </c>
      <c r="L431" s="67">
        <f t="shared" si="46"/>
        <v>0</v>
      </c>
    </row>
    <row r="432" spans="1:12" hidden="1" outlineLevel="1" x14ac:dyDescent="0.35">
      <c r="A432" s="93" t="s">
        <v>759</v>
      </c>
      <c r="B432" s="144" t="s">
        <v>760</v>
      </c>
      <c r="C432" s="26" t="s">
        <v>930</v>
      </c>
      <c r="D432" s="85"/>
      <c r="E432" s="63"/>
      <c r="F432" s="83"/>
      <c r="G432" s="64">
        <v>42970</v>
      </c>
      <c r="H432" s="85"/>
      <c r="I432" s="67"/>
      <c r="J432" s="71"/>
      <c r="K432" s="84">
        <f t="shared" si="45"/>
        <v>0</v>
      </c>
      <c r="L432" s="67">
        <f t="shared" si="46"/>
        <v>42970</v>
      </c>
    </row>
    <row r="433" spans="1:12" hidden="1" outlineLevel="1" x14ac:dyDescent="0.35">
      <c r="A433" s="93" t="s">
        <v>761</v>
      </c>
      <c r="B433" s="144" t="s">
        <v>762</v>
      </c>
      <c r="C433" s="26" t="s">
        <v>930</v>
      </c>
      <c r="D433" s="85"/>
      <c r="E433" s="63"/>
      <c r="F433" s="83"/>
      <c r="G433" s="64"/>
      <c r="H433" s="85"/>
      <c r="I433" s="67"/>
      <c r="J433" s="71"/>
      <c r="K433" s="84">
        <f t="shared" si="45"/>
        <v>0</v>
      </c>
      <c r="L433" s="67">
        <f t="shared" si="46"/>
        <v>0</v>
      </c>
    </row>
    <row r="434" spans="1:12" hidden="1" outlineLevel="1" x14ac:dyDescent="0.35">
      <c r="A434" s="93" t="s">
        <v>763</v>
      </c>
      <c r="B434" s="144" t="s">
        <v>764</v>
      </c>
      <c r="C434" s="26" t="s">
        <v>930</v>
      </c>
      <c r="D434" s="85"/>
      <c r="E434" s="63">
        <f>45311+2400</f>
        <v>47711</v>
      </c>
      <c r="F434" s="83">
        <v>56661</v>
      </c>
      <c r="G434" s="64">
        <v>3440</v>
      </c>
      <c r="H434" s="85"/>
      <c r="I434" s="67">
        <f>1650+2970</f>
        <v>4620</v>
      </c>
      <c r="J434" s="71"/>
      <c r="K434" s="84">
        <f t="shared" si="45"/>
        <v>4620</v>
      </c>
      <c r="L434" s="67">
        <f t="shared" si="46"/>
        <v>112432</v>
      </c>
    </row>
    <row r="435" spans="1:12" hidden="1" outlineLevel="1" x14ac:dyDescent="0.35">
      <c r="A435" s="93" t="s">
        <v>765</v>
      </c>
      <c r="B435" s="144" t="s">
        <v>766</v>
      </c>
      <c r="C435" s="26" t="s">
        <v>930</v>
      </c>
      <c r="D435" s="85">
        <v>10079</v>
      </c>
      <c r="E435" s="63">
        <v>17227</v>
      </c>
      <c r="F435" s="83">
        <v>207221</v>
      </c>
      <c r="G435" s="64">
        <v>115151</v>
      </c>
      <c r="H435" s="85">
        <v>139848</v>
      </c>
      <c r="I435" s="67">
        <f>75+135+116+87</f>
        <v>413</v>
      </c>
      <c r="J435" s="71"/>
      <c r="K435" s="84">
        <f t="shared" si="45"/>
        <v>413</v>
      </c>
      <c r="L435" s="67">
        <f t="shared" si="46"/>
        <v>489939</v>
      </c>
    </row>
    <row r="436" spans="1:12" hidden="1" outlineLevel="1" x14ac:dyDescent="0.35">
      <c r="A436" s="93" t="s">
        <v>767</v>
      </c>
      <c r="B436" s="144" t="s">
        <v>768</v>
      </c>
      <c r="C436" s="26" t="s">
        <v>930</v>
      </c>
      <c r="D436" s="85"/>
      <c r="E436" s="63">
        <v>2985</v>
      </c>
      <c r="F436" s="83">
        <v>65348</v>
      </c>
      <c r="G436" s="64">
        <v>29683</v>
      </c>
      <c r="H436" s="85">
        <f>1925+6862</f>
        <v>8787</v>
      </c>
      <c r="I436" s="67">
        <f>188+223+189+212+201+201+194+194+324+259+259+259</f>
        <v>2703</v>
      </c>
      <c r="J436" s="71"/>
      <c r="K436" s="84">
        <f t="shared" si="45"/>
        <v>2703</v>
      </c>
      <c r="L436" s="67">
        <f t="shared" si="46"/>
        <v>109506</v>
      </c>
    </row>
    <row r="437" spans="1:12" hidden="1" outlineLevel="1" x14ac:dyDescent="0.35">
      <c r="A437" s="93" t="s">
        <v>769</v>
      </c>
      <c r="B437" s="144" t="s">
        <v>770</v>
      </c>
      <c r="C437" s="26" t="s">
        <v>930</v>
      </c>
      <c r="D437" s="85"/>
      <c r="E437" s="63"/>
      <c r="F437" s="83"/>
      <c r="G437" s="64"/>
      <c r="H437" s="85"/>
      <c r="I437" s="67"/>
      <c r="J437" s="71"/>
      <c r="K437" s="84">
        <f t="shared" si="45"/>
        <v>0</v>
      </c>
      <c r="L437" s="67">
        <f t="shared" si="46"/>
        <v>0</v>
      </c>
    </row>
    <row r="438" spans="1:12" hidden="1" outlineLevel="1" x14ac:dyDescent="0.35">
      <c r="A438" s="93" t="s">
        <v>771</v>
      </c>
      <c r="B438" s="144" t="s">
        <v>772</v>
      </c>
      <c r="C438" s="26" t="s">
        <v>930</v>
      </c>
      <c r="D438" s="85"/>
      <c r="E438" s="63">
        <v>4611</v>
      </c>
      <c r="F438" s="83">
        <v>3154</v>
      </c>
      <c r="G438" s="64">
        <v>510</v>
      </c>
      <c r="H438" s="85"/>
      <c r="I438" s="67"/>
      <c r="J438" s="71"/>
      <c r="K438" s="84">
        <f t="shared" si="45"/>
        <v>0</v>
      </c>
      <c r="L438" s="67">
        <f t="shared" si="46"/>
        <v>8275</v>
      </c>
    </row>
    <row r="439" spans="1:12" hidden="1" outlineLevel="1" x14ac:dyDescent="0.35">
      <c r="A439" s="93" t="s">
        <v>773</v>
      </c>
      <c r="B439" s="144" t="s">
        <v>774</v>
      </c>
      <c r="C439" s="26" t="s">
        <v>930</v>
      </c>
      <c r="D439" s="85"/>
      <c r="E439" s="63"/>
      <c r="F439" s="83"/>
      <c r="G439" s="64">
        <v>3558</v>
      </c>
      <c r="H439" s="85">
        <v>11340</v>
      </c>
      <c r="I439" s="67"/>
      <c r="J439" s="71"/>
      <c r="K439" s="84">
        <f t="shared" si="45"/>
        <v>0</v>
      </c>
      <c r="L439" s="67">
        <f t="shared" si="46"/>
        <v>14898</v>
      </c>
    </row>
    <row r="440" spans="1:12" hidden="1" outlineLevel="1" x14ac:dyDescent="0.35">
      <c r="A440" s="93" t="s">
        <v>775</v>
      </c>
      <c r="B440" s="144" t="s">
        <v>776</v>
      </c>
      <c r="C440" s="26" t="s">
        <v>930</v>
      </c>
      <c r="D440" s="85"/>
      <c r="E440" s="63"/>
      <c r="F440" s="83"/>
      <c r="G440" s="64">
        <v>350</v>
      </c>
      <c r="H440" s="85">
        <v>6630</v>
      </c>
      <c r="I440" s="67"/>
      <c r="J440" s="71"/>
      <c r="K440" s="84">
        <f t="shared" si="45"/>
        <v>0</v>
      </c>
      <c r="L440" s="67">
        <f t="shared" si="46"/>
        <v>6980</v>
      </c>
    </row>
    <row r="441" spans="1:12" hidden="1" outlineLevel="1" x14ac:dyDescent="0.35">
      <c r="A441" s="93" t="s">
        <v>777</v>
      </c>
      <c r="B441" s="144" t="s">
        <v>778</v>
      </c>
      <c r="C441" s="26" t="s">
        <v>930</v>
      </c>
      <c r="D441" s="85"/>
      <c r="E441" s="63"/>
      <c r="F441" s="83"/>
      <c r="G441" s="64">
        <v>13824</v>
      </c>
      <c r="H441" s="85"/>
      <c r="I441" s="67"/>
      <c r="J441" s="71"/>
      <c r="K441" s="84">
        <f t="shared" si="45"/>
        <v>0</v>
      </c>
      <c r="L441" s="67">
        <f t="shared" si="46"/>
        <v>13824</v>
      </c>
    </row>
    <row r="442" spans="1:12" hidden="1" outlineLevel="1" x14ac:dyDescent="0.35">
      <c r="A442" s="93" t="s">
        <v>779</v>
      </c>
      <c r="B442" s="144" t="s">
        <v>780</v>
      </c>
      <c r="C442" s="26" t="s">
        <v>930</v>
      </c>
      <c r="D442" s="85"/>
      <c r="E442" s="63"/>
      <c r="F442" s="83"/>
      <c r="G442" s="64"/>
      <c r="H442" s="85"/>
      <c r="I442" s="67"/>
      <c r="J442" s="71"/>
      <c r="K442" s="84">
        <f t="shared" si="45"/>
        <v>0</v>
      </c>
      <c r="L442" s="67">
        <f t="shared" si="46"/>
        <v>0</v>
      </c>
    </row>
    <row r="443" spans="1:12" hidden="1" outlineLevel="1" x14ac:dyDescent="0.35">
      <c r="A443" s="93" t="s">
        <v>781</v>
      </c>
      <c r="B443" s="144" t="s">
        <v>782</v>
      </c>
      <c r="C443" s="26" t="s">
        <v>930</v>
      </c>
      <c r="D443" s="85"/>
      <c r="E443" s="63"/>
      <c r="F443" s="83"/>
      <c r="G443" s="64">
        <v>14313</v>
      </c>
      <c r="H443" s="85">
        <v>5455</v>
      </c>
      <c r="I443" s="67">
        <v>28457</v>
      </c>
      <c r="J443" s="71"/>
      <c r="K443" s="84">
        <f t="shared" si="45"/>
        <v>28457</v>
      </c>
      <c r="L443" s="67">
        <f t="shared" si="46"/>
        <v>48225</v>
      </c>
    </row>
    <row r="444" spans="1:12" hidden="1" outlineLevel="1" x14ac:dyDescent="0.35">
      <c r="A444" s="93" t="s">
        <v>783</v>
      </c>
      <c r="B444" s="144" t="s">
        <v>784</v>
      </c>
      <c r="C444" s="26" t="s">
        <v>930</v>
      </c>
      <c r="D444" s="85"/>
      <c r="E444" s="63"/>
      <c r="F444" s="83">
        <v>139232</v>
      </c>
      <c r="G444" s="64">
        <v>44377</v>
      </c>
      <c r="H444" s="85">
        <v>48151</v>
      </c>
      <c r="I444" s="67"/>
      <c r="J444" s="71"/>
      <c r="K444" s="84">
        <f t="shared" si="45"/>
        <v>0</v>
      </c>
      <c r="L444" s="67">
        <f t="shared" si="46"/>
        <v>231760</v>
      </c>
    </row>
    <row r="445" spans="1:12" hidden="1" outlineLevel="1" x14ac:dyDescent="0.35">
      <c r="A445" s="93" t="s">
        <v>785</v>
      </c>
      <c r="B445" s="144" t="s">
        <v>786</v>
      </c>
      <c r="C445" s="26" t="s">
        <v>930</v>
      </c>
      <c r="D445" s="85">
        <v>6565</v>
      </c>
      <c r="E445" s="63"/>
      <c r="F445" s="83"/>
      <c r="G445" s="64"/>
      <c r="H445" s="85"/>
      <c r="I445" s="67"/>
      <c r="J445" s="71"/>
      <c r="K445" s="84">
        <f t="shared" si="45"/>
        <v>0</v>
      </c>
      <c r="L445" s="67">
        <f t="shared" si="46"/>
        <v>6565</v>
      </c>
    </row>
    <row r="446" spans="1:12" hidden="1" outlineLevel="1" x14ac:dyDescent="0.35">
      <c r="A446" s="93" t="s">
        <v>787</v>
      </c>
      <c r="B446" s="144" t="s">
        <v>788</v>
      </c>
      <c r="C446" s="26" t="s">
        <v>930</v>
      </c>
      <c r="D446" s="85"/>
      <c r="E446" s="63">
        <v>3946</v>
      </c>
      <c r="F446" s="83">
        <v>10901</v>
      </c>
      <c r="G446" s="64">
        <v>13596</v>
      </c>
      <c r="H446" s="85">
        <v>17920</v>
      </c>
      <c r="I446" s="67">
        <f>652+566+2970-3160+26252+413</f>
        <v>27693</v>
      </c>
      <c r="J446" s="71"/>
      <c r="K446" s="84">
        <f t="shared" si="45"/>
        <v>27693</v>
      </c>
      <c r="L446" s="67">
        <f t="shared" si="46"/>
        <v>74056</v>
      </c>
    </row>
    <row r="447" spans="1:12" hidden="1" outlineLevel="1" x14ac:dyDescent="0.35">
      <c r="A447" s="93" t="s">
        <v>789</v>
      </c>
      <c r="B447" s="144" t="s">
        <v>790</v>
      </c>
      <c r="C447" s="26" t="s">
        <v>930</v>
      </c>
      <c r="D447" s="85"/>
      <c r="E447" s="63"/>
      <c r="F447" s="83"/>
      <c r="G447" s="64"/>
      <c r="H447" s="85"/>
      <c r="I447" s="67"/>
      <c r="J447" s="71"/>
      <c r="K447" s="84">
        <f t="shared" si="45"/>
        <v>0</v>
      </c>
      <c r="L447" s="67">
        <f t="shared" si="46"/>
        <v>0</v>
      </c>
    </row>
    <row r="448" spans="1:12" hidden="1" outlineLevel="1" x14ac:dyDescent="0.35">
      <c r="A448" s="93" t="s">
        <v>791</v>
      </c>
      <c r="B448" s="144" t="s">
        <v>792</v>
      </c>
      <c r="C448" s="26" t="s">
        <v>930</v>
      </c>
      <c r="D448" s="85"/>
      <c r="E448" s="63"/>
      <c r="F448" s="83"/>
      <c r="G448" s="64"/>
      <c r="H448" s="85"/>
      <c r="I448" s="67"/>
      <c r="J448" s="71"/>
      <c r="K448" s="84">
        <f t="shared" si="45"/>
        <v>0</v>
      </c>
      <c r="L448" s="67">
        <f t="shared" si="46"/>
        <v>0</v>
      </c>
    </row>
    <row r="449" spans="1:12" hidden="1" outlineLevel="1" x14ac:dyDescent="0.35">
      <c r="A449" s="93" t="s">
        <v>793</v>
      </c>
      <c r="B449" s="144" t="s">
        <v>794</v>
      </c>
      <c r="C449" s="26" t="s">
        <v>930</v>
      </c>
      <c r="D449" s="85"/>
      <c r="E449" s="63">
        <v>16981</v>
      </c>
      <c r="F449" s="83">
        <v>35424</v>
      </c>
      <c r="G449" s="64">
        <v>2406</v>
      </c>
      <c r="H449" s="85">
        <v>97028</v>
      </c>
      <c r="I449" s="67"/>
      <c r="J449" s="71"/>
      <c r="K449" s="84">
        <f t="shared" si="45"/>
        <v>0</v>
      </c>
      <c r="L449" s="67">
        <f t="shared" si="46"/>
        <v>151839</v>
      </c>
    </row>
    <row r="450" spans="1:12" hidden="1" outlineLevel="1" x14ac:dyDescent="0.35">
      <c r="A450" s="93" t="s">
        <v>795</v>
      </c>
      <c r="B450" s="144" t="s">
        <v>796</v>
      </c>
      <c r="C450" s="26" t="s">
        <v>930</v>
      </c>
      <c r="D450" s="85"/>
      <c r="E450" s="63"/>
      <c r="F450" s="83"/>
      <c r="G450" s="64">
        <v>500</v>
      </c>
      <c r="H450" s="85"/>
      <c r="I450" s="67">
        <v>10000</v>
      </c>
      <c r="J450" s="71"/>
      <c r="K450" s="84">
        <f t="shared" si="45"/>
        <v>10000</v>
      </c>
      <c r="L450" s="67">
        <f t="shared" si="46"/>
        <v>10500</v>
      </c>
    </row>
    <row r="451" spans="1:12" hidden="1" outlineLevel="1" x14ac:dyDescent="0.35">
      <c r="A451" s="93" t="s">
        <v>797</v>
      </c>
      <c r="B451" s="144" t="s">
        <v>798</v>
      </c>
      <c r="C451" s="26" t="s">
        <v>930</v>
      </c>
      <c r="D451" s="85"/>
      <c r="E451" s="63"/>
      <c r="F451" s="83"/>
      <c r="G451" s="64"/>
      <c r="H451" s="85"/>
      <c r="I451" s="67"/>
      <c r="J451" s="71"/>
      <c r="K451" s="84">
        <f t="shared" si="45"/>
        <v>0</v>
      </c>
      <c r="L451" s="67">
        <f t="shared" si="46"/>
        <v>0</v>
      </c>
    </row>
    <row r="452" spans="1:12" hidden="1" outlineLevel="1" x14ac:dyDescent="0.35">
      <c r="A452" s="93" t="s">
        <v>799</v>
      </c>
      <c r="B452" s="144" t="s">
        <v>800</v>
      </c>
      <c r="C452" s="26" t="s">
        <v>930</v>
      </c>
      <c r="D452" s="85"/>
      <c r="E452" s="63"/>
      <c r="F452" s="83"/>
      <c r="G452" s="64">
        <v>3810</v>
      </c>
      <c r="H452" s="85"/>
      <c r="I452" s="67"/>
      <c r="J452" s="71"/>
      <c r="K452" s="84">
        <f t="shared" si="45"/>
        <v>0</v>
      </c>
      <c r="L452" s="67">
        <f t="shared" si="46"/>
        <v>3810</v>
      </c>
    </row>
    <row r="453" spans="1:12" hidden="1" outlineLevel="1" x14ac:dyDescent="0.35">
      <c r="A453" s="93" t="s">
        <v>801</v>
      </c>
      <c r="B453" s="144" t="s">
        <v>802</v>
      </c>
      <c r="C453" s="26" t="s">
        <v>930</v>
      </c>
      <c r="D453" s="85"/>
      <c r="E453" s="63">
        <v>23158</v>
      </c>
      <c r="F453" s="83">
        <v>177201</v>
      </c>
      <c r="G453" s="64">
        <v>65108</v>
      </c>
      <c r="H453" s="85"/>
      <c r="I453" s="67"/>
      <c r="J453" s="71"/>
      <c r="K453" s="84">
        <f t="shared" si="45"/>
        <v>0</v>
      </c>
      <c r="L453" s="67">
        <f t="shared" si="46"/>
        <v>265467</v>
      </c>
    </row>
    <row r="454" spans="1:12" hidden="1" outlineLevel="1" x14ac:dyDescent="0.35">
      <c r="A454" s="93" t="s">
        <v>803</v>
      </c>
      <c r="B454" s="144" t="s">
        <v>804</v>
      </c>
      <c r="C454" s="26" t="s">
        <v>930</v>
      </c>
      <c r="D454" s="85"/>
      <c r="E454" s="63"/>
      <c r="F454" s="83">
        <v>392248</v>
      </c>
      <c r="G454" s="64">
        <v>3705</v>
      </c>
      <c r="H454" s="85">
        <v>86810</v>
      </c>
      <c r="I454" s="67">
        <v>2524</v>
      </c>
      <c r="J454" s="71"/>
      <c r="K454" s="84">
        <f t="shared" si="45"/>
        <v>2524</v>
      </c>
      <c r="L454" s="67">
        <f t="shared" si="46"/>
        <v>485287</v>
      </c>
    </row>
    <row r="455" spans="1:12" hidden="1" outlineLevel="1" x14ac:dyDescent="0.35">
      <c r="A455" s="93" t="s">
        <v>805</v>
      </c>
      <c r="B455" s="144" t="s">
        <v>806</v>
      </c>
      <c r="C455" s="26" t="s">
        <v>930</v>
      </c>
      <c r="D455" s="85"/>
      <c r="E455" s="63"/>
      <c r="F455" s="83"/>
      <c r="G455" s="64">
        <v>3750</v>
      </c>
      <c r="H455" s="85"/>
      <c r="I455" s="67"/>
      <c r="J455" s="71"/>
      <c r="K455" s="84">
        <f t="shared" si="45"/>
        <v>0</v>
      </c>
      <c r="L455" s="67">
        <f t="shared" si="46"/>
        <v>3750</v>
      </c>
    </row>
    <row r="456" spans="1:12" hidden="1" outlineLevel="1" x14ac:dyDescent="0.35">
      <c r="A456" s="93" t="s">
        <v>807</v>
      </c>
      <c r="B456" s="144" t="s">
        <v>808</v>
      </c>
      <c r="C456" s="26" t="s">
        <v>930</v>
      </c>
      <c r="D456" s="85"/>
      <c r="E456" s="63"/>
      <c r="F456" s="83"/>
      <c r="G456" s="64"/>
      <c r="H456" s="85"/>
      <c r="I456" s="67"/>
      <c r="J456" s="71"/>
      <c r="K456" s="84">
        <f t="shared" si="45"/>
        <v>0</v>
      </c>
      <c r="L456" s="67">
        <f t="shared" si="46"/>
        <v>0</v>
      </c>
    </row>
    <row r="457" spans="1:12" hidden="1" outlineLevel="1" x14ac:dyDescent="0.35">
      <c r="A457" s="93" t="s">
        <v>809</v>
      </c>
      <c r="B457" s="144" t="s">
        <v>810</v>
      </c>
      <c r="C457" s="26" t="s">
        <v>930</v>
      </c>
      <c r="D457" s="85"/>
      <c r="E457" s="63"/>
      <c r="F457" s="83"/>
      <c r="G457" s="64"/>
      <c r="H457" s="85"/>
      <c r="I457" s="67"/>
      <c r="J457" s="71"/>
      <c r="K457" s="84">
        <f t="shared" si="45"/>
        <v>0</v>
      </c>
      <c r="L457" s="67">
        <f t="shared" si="46"/>
        <v>0</v>
      </c>
    </row>
    <row r="458" spans="1:12" hidden="1" outlineLevel="1" x14ac:dyDescent="0.35">
      <c r="A458" s="93" t="s">
        <v>811</v>
      </c>
      <c r="B458" s="144" t="s">
        <v>812</v>
      </c>
      <c r="C458" s="26" t="s">
        <v>930</v>
      </c>
      <c r="D458" s="85"/>
      <c r="E458" s="63"/>
      <c r="F458" s="83"/>
      <c r="G458" s="64"/>
      <c r="H458" s="85"/>
      <c r="I458" s="67"/>
      <c r="J458" s="71"/>
      <c r="K458" s="84">
        <f t="shared" si="45"/>
        <v>0</v>
      </c>
      <c r="L458" s="67">
        <f t="shared" si="46"/>
        <v>0</v>
      </c>
    </row>
    <row r="459" spans="1:12" hidden="1" outlineLevel="1" x14ac:dyDescent="0.35">
      <c r="A459" s="93" t="s">
        <v>813</v>
      </c>
      <c r="B459" s="144" t="s">
        <v>814</v>
      </c>
      <c r="C459" s="26" t="s">
        <v>930</v>
      </c>
      <c r="D459" s="85"/>
      <c r="E459" s="63"/>
      <c r="F459" s="83"/>
      <c r="G459" s="64">
        <v>1727</v>
      </c>
      <c r="H459" s="85"/>
      <c r="I459" s="67"/>
      <c r="J459" s="71"/>
      <c r="K459" s="84">
        <f t="shared" si="45"/>
        <v>0</v>
      </c>
      <c r="L459" s="67">
        <f t="shared" si="46"/>
        <v>1727</v>
      </c>
    </row>
    <row r="460" spans="1:12" hidden="1" outlineLevel="1" x14ac:dyDescent="0.35">
      <c r="A460" s="93" t="s">
        <v>815</v>
      </c>
      <c r="B460" s="144" t="s">
        <v>816</v>
      </c>
      <c r="C460" s="26" t="s">
        <v>930</v>
      </c>
      <c r="D460" s="85"/>
      <c r="E460" s="63"/>
      <c r="F460" s="83"/>
      <c r="G460" s="64"/>
      <c r="H460" s="85"/>
      <c r="I460" s="67"/>
      <c r="J460" s="71"/>
      <c r="K460" s="84">
        <f t="shared" si="45"/>
        <v>0</v>
      </c>
      <c r="L460" s="67">
        <f t="shared" si="46"/>
        <v>0</v>
      </c>
    </row>
    <row r="461" spans="1:12" hidden="1" outlineLevel="1" x14ac:dyDescent="0.35">
      <c r="A461" s="93" t="s">
        <v>817</v>
      </c>
      <c r="B461" s="144" t="s">
        <v>818</v>
      </c>
      <c r="C461" s="26" t="s">
        <v>930</v>
      </c>
      <c r="D461" s="85">
        <v>3340</v>
      </c>
      <c r="E461" s="63">
        <v>8105</v>
      </c>
      <c r="F461" s="83">
        <v>30343</v>
      </c>
      <c r="G461" s="64">
        <v>5396</v>
      </c>
      <c r="H461" s="85"/>
      <c r="I461" s="67"/>
      <c r="J461" s="71"/>
      <c r="K461" s="84">
        <f t="shared" si="45"/>
        <v>0</v>
      </c>
      <c r="L461" s="67">
        <f t="shared" si="46"/>
        <v>47184</v>
      </c>
    </row>
    <row r="462" spans="1:12" hidden="1" outlineLevel="1" x14ac:dyDescent="0.35">
      <c r="A462" s="93" t="s">
        <v>819</v>
      </c>
      <c r="B462" s="144" t="s">
        <v>820</v>
      </c>
      <c r="C462" s="26" t="s">
        <v>930</v>
      </c>
      <c r="D462" s="85"/>
      <c r="E462" s="63"/>
      <c r="F462" s="83"/>
      <c r="G462" s="64"/>
      <c r="H462" s="85">
        <v>21286</v>
      </c>
      <c r="I462" s="67"/>
      <c r="J462" s="71"/>
      <c r="K462" s="84">
        <f t="shared" si="45"/>
        <v>0</v>
      </c>
      <c r="L462" s="67">
        <f t="shared" si="46"/>
        <v>21286</v>
      </c>
    </row>
    <row r="463" spans="1:12" hidden="1" outlineLevel="1" x14ac:dyDescent="0.35">
      <c r="A463" s="93" t="s">
        <v>821</v>
      </c>
      <c r="B463" s="144" t="s">
        <v>822</v>
      </c>
      <c r="C463" s="26" t="s">
        <v>930</v>
      </c>
      <c r="D463" s="85">
        <v>22645</v>
      </c>
      <c r="E463" s="63">
        <v>21043</v>
      </c>
      <c r="F463" s="83">
        <v>73148</v>
      </c>
      <c r="G463" s="64">
        <v>53714</v>
      </c>
      <c r="H463" s="85">
        <f>62218+17758</f>
        <v>79976</v>
      </c>
      <c r="I463" s="67">
        <v>1774</v>
      </c>
      <c r="J463" s="71"/>
      <c r="K463" s="84">
        <f t="shared" si="45"/>
        <v>1774</v>
      </c>
      <c r="L463" s="67">
        <f t="shared" si="46"/>
        <v>252300</v>
      </c>
    </row>
    <row r="464" spans="1:12" hidden="1" outlineLevel="1" x14ac:dyDescent="0.35">
      <c r="A464" s="93" t="s">
        <v>823</v>
      </c>
      <c r="B464" s="144" t="s">
        <v>824</v>
      </c>
      <c r="C464" s="26" t="s">
        <v>930</v>
      </c>
      <c r="D464" s="85"/>
      <c r="E464" s="63"/>
      <c r="F464" s="83"/>
      <c r="G464" s="64"/>
      <c r="H464" s="85">
        <v>-8</v>
      </c>
      <c r="I464" s="67"/>
      <c r="J464" s="71"/>
      <c r="K464" s="84">
        <f t="shared" si="45"/>
        <v>0</v>
      </c>
      <c r="L464" s="67">
        <f t="shared" si="46"/>
        <v>-8</v>
      </c>
    </row>
    <row r="465" spans="1:15" hidden="1" outlineLevel="1" x14ac:dyDescent="0.35">
      <c r="A465" s="93" t="s">
        <v>825</v>
      </c>
      <c r="B465" s="144" t="s">
        <v>826</v>
      </c>
      <c r="C465" s="26" t="s">
        <v>930</v>
      </c>
      <c r="D465" s="85"/>
      <c r="E465" s="63"/>
      <c r="F465" s="83"/>
      <c r="G465" s="64"/>
      <c r="H465" s="85">
        <v>13372</v>
      </c>
      <c r="I465" s="67"/>
      <c r="J465" s="71"/>
      <c r="K465" s="84">
        <f t="shared" si="45"/>
        <v>0</v>
      </c>
      <c r="L465" s="67">
        <f t="shared" si="46"/>
        <v>13372</v>
      </c>
    </row>
    <row r="466" spans="1:15" hidden="1" outlineLevel="1" x14ac:dyDescent="0.35">
      <c r="A466" s="93" t="s">
        <v>827</v>
      </c>
      <c r="B466" s="144" t="s">
        <v>828</v>
      </c>
      <c r="C466" s="26" t="s">
        <v>930</v>
      </c>
      <c r="D466" s="85">
        <v>1228</v>
      </c>
      <c r="E466" s="63">
        <v>12746</v>
      </c>
      <c r="F466" s="83">
        <v>22394</v>
      </c>
      <c r="G466" s="64">
        <v>7763</v>
      </c>
      <c r="H466" s="85">
        <v>10185</v>
      </c>
      <c r="I466" s="67">
        <v>3853</v>
      </c>
      <c r="J466" s="71"/>
      <c r="K466" s="84">
        <f t="shared" si="45"/>
        <v>3853</v>
      </c>
      <c r="L466" s="67">
        <f t="shared" si="46"/>
        <v>58169</v>
      </c>
    </row>
    <row r="467" spans="1:15" hidden="1" outlineLevel="1" x14ac:dyDescent="0.35">
      <c r="A467" s="93" t="s">
        <v>829</v>
      </c>
      <c r="B467" s="144" t="s">
        <v>830</v>
      </c>
      <c r="C467" s="26" t="s">
        <v>930</v>
      </c>
      <c r="D467" s="85"/>
      <c r="E467" s="63"/>
      <c r="F467" s="83">
        <v>150356</v>
      </c>
      <c r="G467" s="64">
        <v>50</v>
      </c>
      <c r="H467" s="85">
        <v>140156</v>
      </c>
      <c r="I467" s="67">
        <v>4335</v>
      </c>
      <c r="J467" s="71"/>
      <c r="K467" s="84">
        <f t="shared" ref="K467:K496" si="47">J467+I467</f>
        <v>4335</v>
      </c>
      <c r="L467" s="67">
        <f t="shared" ref="L467:L496" si="48">K467+D467+E467+F467+G467+H467</f>
        <v>294897</v>
      </c>
    </row>
    <row r="468" spans="1:15" hidden="1" outlineLevel="1" x14ac:dyDescent="0.35">
      <c r="A468" s="93" t="s">
        <v>831</v>
      </c>
      <c r="B468" s="144" t="s">
        <v>832</v>
      </c>
      <c r="C468" s="26" t="s">
        <v>930</v>
      </c>
      <c r="D468" s="85"/>
      <c r="E468" s="63"/>
      <c r="F468" s="83"/>
      <c r="G468" s="64"/>
      <c r="H468" s="85"/>
      <c r="I468" s="67"/>
      <c r="J468" s="71"/>
      <c r="K468" s="84">
        <f t="shared" si="47"/>
        <v>0</v>
      </c>
      <c r="L468" s="67">
        <f t="shared" si="48"/>
        <v>0</v>
      </c>
    </row>
    <row r="469" spans="1:15" hidden="1" outlineLevel="1" x14ac:dyDescent="0.35">
      <c r="A469" s="93" t="s">
        <v>833</v>
      </c>
      <c r="B469" s="144" t="s">
        <v>834</v>
      </c>
      <c r="C469" s="26" t="s">
        <v>930</v>
      </c>
      <c r="D469" s="85"/>
      <c r="E469" s="63"/>
      <c r="F469" s="83"/>
      <c r="G469" s="64"/>
      <c r="H469" s="85"/>
      <c r="I469" s="67"/>
      <c r="J469" s="71"/>
      <c r="K469" s="84">
        <f t="shared" si="47"/>
        <v>0</v>
      </c>
      <c r="L469" s="67">
        <f t="shared" si="48"/>
        <v>0</v>
      </c>
    </row>
    <row r="470" spans="1:15" hidden="1" outlineLevel="1" x14ac:dyDescent="0.35">
      <c r="A470" s="93" t="s">
        <v>835</v>
      </c>
      <c r="B470" s="144" t="s">
        <v>836</v>
      </c>
      <c r="C470" s="97" t="s">
        <v>930</v>
      </c>
      <c r="D470" s="85"/>
      <c r="E470" s="63"/>
      <c r="F470" s="83"/>
      <c r="G470" s="64"/>
      <c r="H470" s="85"/>
      <c r="I470" s="67"/>
      <c r="J470" s="71"/>
      <c r="K470" s="84">
        <f t="shared" si="47"/>
        <v>0</v>
      </c>
      <c r="L470" s="67">
        <f t="shared" si="48"/>
        <v>0</v>
      </c>
    </row>
    <row r="471" spans="1:15" hidden="1" outlineLevel="1" x14ac:dyDescent="0.35">
      <c r="A471" s="93"/>
      <c r="B471" s="166" t="s">
        <v>1308</v>
      </c>
      <c r="C471" s="117"/>
      <c r="D471" s="119"/>
      <c r="E471" s="121"/>
      <c r="F471" s="122">
        <f>-F398</f>
        <v>-211230</v>
      </c>
      <c r="G471" s="122">
        <f t="shared" ref="G471:H471" si="49">-G398</f>
        <v>-66019</v>
      </c>
      <c r="H471" s="122">
        <f t="shared" si="49"/>
        <v>-93252</v>
      </c>
      <c r="I471" s="123"/>
      <c r="J471" s="165">
        <f>-(H471+G471+F471)</f>
        <v>370501</v>
      </c>
      <c r="K471" s="84">
        <f t="shared" si="47"/>
        <v>370501</v>
      </c>
      <c r="L471" s="67"/>
    </row>
    <row r="472" spans="1:15" s="12" customFormat="1" x14ac:dyDescent="0.35">
      <c r="A472" s="101"/>
      <c r="B472" s="149" t="s">
        <v>1290</v>
      </c>
      <c r="C472" s="35"/>
      <c r="D472" s="88">
        <f t="shared" ref="D472:K472" si="50">D293+D339+D386+D391+D392</f>
        <v>1914702</v>
      </c>
      <c r="E472" s="76">
        <f t="shared" si="50"/>
        <v>679243</v>
      </c>
      <c r="F472" s="88">
        <f t="shared" si="50"/>
        <v>3956814</v>
      </c>
      <c r="G472" s="76">
        <f t="shared" si="50"/>
        <v>2495382</v>
      </c>
      <c r="H472" s="88">
        <f t="shared" si="50"/>
        <v>2475955</v>
      </c>
      <c r="I472" s="76">
        <f t="shared" si="50"/>
        <v>1447213</v>
      </c>
      <c r="J472" s="88"/>
      <c r="K472" s="76">
        <f t="shared" si="50"/>
        <v>5642344</v>
      </c>
      <c r="L472" s="210">
        <f t="shared" si="48"/>
        <v>17164440</v>
      </c>
    </row>
    <row r="473" spans="1:15" s="12" customFormat="1" x14ac:dyDescent="0.35">
      <c r="A473" s="103"/>
      <c r="B473" s="109" t="s">
        <v>1287</v>
      </c>
      <c r="C473" s="36"/>
      <c r="D473" s="90">
        <f>D338-D339-D386-D392</f>
        <v>-503536.80564627331</v>
      </c>
      <c r="E473" s="59">
        <f t="shared" ref="E473:H473" si="51">E338-E339-E386-E392</f>
        <v>403663.7521590828</v>
      </c>
      <c r="F473" s="90">
        <f t="shared" si="51"/>
        <v>-541295.93569925241</v>
      </c>
      <c r="G473" s="59">
        <f t="shared" si="51"/>
        <v>499478.4360258365</v>
      </c>
      <c r="H473" s="90">
        <f t="shared" si="51"/>
        <v>25924.553160606883</v>
      </c>
      <c r="I473" s="59">
        <f>I338-I339-I386-I392</f>
        <v>108728</v>
      </c>
      <c r="J473" s="90"/>
      <c r="K473" s="90">
        <f>K338-K339-K386-K392</f>
        <v>115422</v>
      </c>
      <c r="L473" s="110">
        <f>K473+D473+E473+F473+G473+H473</f>
        <v>-343.99999999953434</v>
      </c>
      <c r="O473" s="209"/>
    </row>
    <row r="474" spans="1:15" collapsed="1" x14ac:dyDescent="0.35">
      <c r="A474" s="104"/>
      <c r="B474" s="144" t="s">
        <v>931</v>
      </c>
      <c r="C474" s="97"/>
      <c r="D474" s="85">
        <f>SUM(D475:D479)</f>
        <v>521</v>
      </c>
      <c r="E474" s="65">
        <f t="shared" ref="E474:I474" si="52">SUM(E475:E479)</f>
        <v>11246</v>
      </c>
      <c r="F474" s="85">
        <f t="shared" si="52"/>
        <v>38112</v>
      </c>
      <c r="G474" s="65">
        <f t="shared" si="52"/>
        <v>25786</v>
      </c>
      <c r="H474" s="85">
        <f t="shared" si="52"/>
        <v>0</v>
      </c>
      <c r="I474" s="65">
        <f t="shared" si="52"/>
        <v>0</v>
      </c>
      <c r="J474" s="71"/>
      <c r="K474" s="84">
        <f t="shared" si="47"/>
        <v>0</v>
      </c>
      <c r="L474" s="67">
        <f>K474+D474+E474+F474+G474+H474</f>
        <v>75665</v>
      </c>
    </row>
    <row r="475" spans="1:15" hidden="1" outlineLevel="1" x14ac:dyDescent="0.35">
      <c r="A475" s="93" t="s">
        <v>837</v>
      </c>
      <c r="B475" s="144" t="s">
        <v>838</v>
      </c>
      <c r="C475" s="26" t="s">
        <v>931</v>
      </c>
      <c r="D475" s="85">
        <v>521</v>
      </c>
      <c r="E475" s="63">
        <v>8991</v>
      </c>
      <c r="F475" s="83">
        <v>38112</v>
      </c>
      <c r="G475" s="64">
        <v>25786</v>
      </c>
      <c r="H475" s="85"/>
      <c r="I475" s="67"/>
      <c r="J475" s="71">
        <f t="shared" ref="J475:J479" si="53">D475+E475+F475+G475+H475</f>
        <v>73410</v>
      </c>
      <c r="K475" s="84">
        <f t="shared" si="47"/>
        <v>73410</v>
      </c>
      <c r="L475" s="67">
        <f t="shared" si="48"/>
        <v>146820</v>
      </c>
    </row>
    <row r="476" spans="1:15" hidden="1" outlineLevel="1" x14ac:dyDescent="0.35">
      <c r="A476" s="93" t="s">
        <v>839</v>
      </c>
      <c r="B476" s="144" t="s">
        <v>840</v>
      </c>
      <c r="C476" s="26" t="s">
        <v>931</v>
      </c>
      <c r="D476" s="85"/>
      <c r="E476" s="63"/>
      <c r="F476" s="83"/>
      <c r="G476" s="64"/>
      <c r="H476" s="85"/>
      <c r="I476" s="67"/>
      <c r="J476" s="71">
        <f t="shared" si="53"/>
        <v>0</v>
      </c>
      <c r="K476" s="84">
        <f t="shared" si="47"/>
        <v>0</v>
      </c>
      <c r="L476" s="67">
        <f t="shared" si="48"/>
        <v>0</v>
      </c>
    </row>
    <row r="477" spans="1:15" hidden="1" outlineLevel="1" x14ac:dyDescent="0.35">
      <c r="A477" s="93" t="s">
        <v>841</v>
      </c>
      <c r="B477" s="144" t="s">
        <v>842</v>
      </c>
      <c r="C477" s="26" t="s">
        <v>931</v>
      </c>
      <c r="D477" s="85"/>
      <c r="E477" s="63"/>
      <c r="F477" s="83"/>
      <c r="G477" s="64"/>
      <c r="H477" s="85"/>
      <c r="I477" s="67"/>
      <c r="J477" s="71">
        <f t="shared" si="53"/>
        <v>0</v>
      </c>
      <c r="K477" s="84">
        <f t="shared" si="47"/>
        <v>0</v>
      </c>
      <c r="L477" s="67">
        <f t="shared" si="48"/>
        <v>0</v>
      </c>
    </row>
    <row r="478" spans="1:15" hidden="1" outlineLevel="1" x14ac:dyDescent="0.35">
      <c r="A478" s="99" t="s">
        <v>843</v>
      </c>
      <c r="B478" s="146" t="s">
        <v>844</v>
      </c>
      <c r="C478" s="26" t="s">
        <v>931</v>
      </c>
      <c r="D478" s="85"/>
      <c r="E478" s="63"/>
      <c r="F478" s="83"/>
      <c r="G478" s="64"/>
      <c r="H478" s="85"/>
      <c r="I478" s="67"/>
      <c r="J478" s="71">
        <f t="shared" si="53"/>
        <v>0</v>
      </c>
      <c r="K478" s="84">
        <f t="shared" si="47"/>
        <v>0</v>
      </c>
      <c r="L478" s="67">
        <f t="shared" si="48"/>
        <v>0</v>
      </c>
    </row>
    <row r="479" spans="1:15" hidden="1" outlineLevel="1" x14ac:dyDescent="0.35">
      <c r="A479" s="93" t="s">
        <v>847</v>
      </c>
      <c r="B479" s="144" t="s">
        <v>848</v>
      </c>
      <c r="C479" s="26" t="s">
        <v>931</v>
      </c>
      <c r="D479" s="85"/>
      <c r="E479" s="63">
        <v>2255</v>
      </c>
      <c r="F479" s="83"/>
      <c r="G479" s="64"/>
      <c r="H479" s="85"/>
      <c r="I479" s="67"/>
      <c r="J479" s="71">
        <f t="shared" si="53"/>
        <v>2255</v>
      </c>
      <c r="K479" s="84">
        <f t="shared" si="47"/>
        <v>2255</v>
      </c>
      <c r="L479" s="67">
        <f t="shared" si="48"/>
        <v>4510</v>
      </c>
    </row>
    <row r="480" spans="1:15" collapsed="1" x14ac:dyDescent="0.35">
      <c r="A480" s="96"/>
      <c r="B480" s="144" t="s">
        <v>932</v>
      </c>
      <c r="C480" s="95"/>
      <c r="D480" s="85">
        <f>SUM(D481:D482)</f>
        <v>0</v>
      </c>
      <c r="E480" s="65">
        <f t="shared" ref="E480:I480" si="54">SUM(E481:E482)</f>
        <v>0</v>
      </c>
      <c r="F480" s="85">
        <f t="shared" si="54"/>
        <v>0</v>
      </c>
      <c r="G480" s="65">
        <f t="shared" si="54"/>
        <v>0</v>
      </c>
      <c r="H480" s="85">
        <f t="shared" si="54"/>
        <v>0</v>
      </c>
      <c r="I480" s="65">
        <f t="shared" si="54"/>
        <v>0</v>
      </c>
      <c r="J480" s="71"/>
      <c r="K480" s="84">
        <f t="shared" si="47"/>
        <v>0</v>
      </c>
      <c r="L480" s="67">
        <f t="shared" si="48"/>
        <v>0</v>
      </c>
    </row>
    <row r="481" spans="1:12" hidden="1" outlineLevel="1" x14ac:dyDescent="0.35">
      <c r="A481" s="93" t="s">
        <v>845</v>
      </c>
      <c r="B481" s="144" t="s">
        <v>846</v>
      </c>
      <c r="C481" s="26" t="s">
        <v>932</v>
      </c>
      <c r="D481" s="85"/>
      <c r="E481" s="63"/>
      <c r="F481" s="83"/>
      <c r="G481" s="64"/>
      <c r="H481" s="85"/>
      <c r="I481" s="67"/>
      <c r="J481" s="71"/>
      <c r="K481" s="84">
        <f t="shared" si="47"/>
        <v>0</v>
      </c>
      <c r="L481" s="67">
        <f t="shared" si="48"/>
        <v>0</v>
      </c>
    </row>
    <row r="482" spans="1:12" hidden="1" outlineLevel="1" x14ac:dyDescent="0.35">
      <c r="A482" s="93" t="s">
        <v>849</v>
      </c>
      <c r="B482" s="144" t="s">
        <v>850</v>
      </c>
      <c r="C482" s="26" t="s">
        <v>932</v>
      </c>
      <c r="D482" s="85"/>
      <c r="E482" s="63"/>
      <c r="F482" s="83"/>
      <c r="G482" s="64"/>
      <c r="H482" s="85"/>
      <c r="I482" s="67"/>
      <c r="J482" s="71"/>
      <c r="K482" s="84">
        <f t="shared" si="47"/>
        <v>0</v>
      </c>
      <c r="L482" s="67">
        <f t="shared" si="48"/>
        <v>0</v>
      </c>
    </row>
    <row r="483" spans="1:12" collapsed="1" x14ac:dyDescent="0.35">
      <c r="A483" s="93"/>
      <c r="B483" s="144" t="s">
        <v>933</v>
      </c>
      <c r="C483" s="26"/>
      <c r="D483" s="85">
        <f>SUM(D484:D485)</f>
        <v>0</v>
      </c>
      <c r="E483" s="65">
        <f t="shared" ref="E483:I483" si="55">SUM(E484:E485)</f>
        <v>0</v>
      </c>
      <c r="F483" s="85">
        <f t="shared" si="55"/>
        <v>0</v>
      </c>
      <c r="G483" s="65">
        <f t="shared" si="55"/>
        <v>0</v>
      </c>
      <c r="H483" s="85">
        <f t="shared" si="55"/>
        <v>0</v>
      </c>
      <c r="I483" s="65">
        <f t="shared" si="55"/>
        <v>0</v>
      </c>
      <c r="J483" s="71"/>
      <c r="K483" s="84">
        <f t="shared" si="47"/>
        <v>0</v>
      </c>
      <c r="L483" s="67">
        <f t="shared" si="48"/>
        <v>0</v>
      </c>
    </row>
    <row r="484" spans="1:12" hidden="1" outlineLevel="1" x14ac:dyDescent="0.35">
      <c r="A484" s="93" t="s">
        <v>851</v>
      </c>
      <c r="B484" s="144" t="s">
        <v>852</v>
      </c>
      <c r="C484" s="26" t="s">
        <v>933</v>
      </c>
      <c r="D484" s="85"/>
      <c r="E484" s="63"/>
      <c r="F484" s="83"/>
      <c r="G484" s="64"/>
      <c r="H484" s="85"/>
      <c r="I484" s="67"/>
      <c r="J484" s="71"/>
      <c r="K484" s="84">
        <f t="shared" si="47"/>
        <v>0</v>
      </c>
      <c r="L484" s="67">
        <f t="shared" si="48"/>
        <v>0</v>
      </c>
    </row>
    <row r="485" spans="1:12" hidden="1" outlineLevel="1" x14ac:dyDescent="0.35">
      <c r="A485" s="93" t="s">
        <v>853</v>
      </c>
      <c r="B485" s="144" t="s">
        <v>854</v>
      </c>
      <c r="C485" s="26" t="s">
        <v>933</v>
      </c>
      <c r="D485" s="85"/>
      <c r="E485" s="63"/>
      <c r="F485" s="83"/>
      <c r="G485" s="64"/>
      <c r="H485" s="85"/>
      <c r="I485" s="67"/>
      <c r="J485" s="71"/>
      <c r="K485" s="84">
        <f t="shared" si="47"/>
        <v>0</v>
      </c>
      <c r="L485" s="67">
        <f t="shared" si="48"/>
        <v>0</v>
      </c>
    </row>
    <row r="486" spans="1:12" collapsed="1" x14ac:dyDescent="0.35">
      <c r="A486" s="93"/>
      <c r="B486" s="144" t="s">
        <v>934</v>
      </c>
      <c r="C486" s="26"/>
      <c r="D486" s="85">
        <f>SUM(D487:D492)</f>
        <v>0</v>
      </c>
      <c r="E486" s="65">
        <f t="shared" ref="E486:I486" si="56">SUM(E487:E492)</f>
        <v>17</v>
      </c>
      <c r="F486" s="85">
        <f t="shared" si="56"/>
        <v>0</v>
      </c>
      <c r="G486" s="65">
        <f t="shared" si="56"/>
        <v>5887</v>
      </c>
      <c r="H486" s="85">
        <f t="shared" si="56"/>
        <v>0</v>
      </c>
      <c r="I486" s="65">
        <f t="shared" si="56"/>
        <v>0</v>
      </c>
      <c r="J486" s="71"/>
      <c r="K486" s="84">
        <f t="shared" si="47"/>
        <v>0</v>
      </c>
      <c r="L486" s="67">
        <f t="shared" si="48"/>
        <v>5904</v>
      </c>
    </row>
    <row r="487" spans="1:12" hidden="1" outlineLevel="1" x14ac:dyDescent="0.35">
      <c r="A487" s="93" t="s">
        <v>855</v>
      </c>
      <c r="B487" s="144" t="s">
        <v>856</v>
      </c>
      <c r="C487" s="26" t="s">
        <v>934</v>
      </c>
      <c r="D487" s="85"/>
      <c r="E487" s="63">
        <v>17</v>
      </c>
      <c r="F487" s="83"/>
      <c r="G487" s="64"/>
      <c r="H487" s="85"/>
      <c r="I487" s="67"/>
      <c r="J487" s="71"/>
      <c r="K487" s="84">
        <f t="shared" si="47"/>
        <v>0</v>
      </c>
      <c r="L487" s="67">
        <f t="shared" si="48"/>
        <v>17</v>
      </c>
    </row>
    <row r="488" spans="1:12" hidden="1" outlineLevel="1" x14ac:dyDescent="0.35">
      <c r="A488" s="93" t="s">
        <v>857</v>
      </c>
      <c r="B488" s="144" t="s">
        <v>858</v>
      </c>
      <c r="C488" s="26" t="s">
        <v>934</v>
      </c>
      <c r="D488" s="85"/>
      <c r="E488" s="63"/>
      <c r="F488" s="83"/>
      <c r="G488" s="64"/>
      <c r="H488" s="85"/>
      <c r="I488" s="67"/>
      <c r="J488" s="71"/>
      <c r="K488" s="84">
        <f t="shared" si="47"/>
        <v>0</v>
      </c>
      <c r="L488" s="67">
        <f t="shared" si="48"/>
        <v>0</v>
      </c>
    </row>
    <row r="489" spans="1:12" hidden="1" outlineLevel="1" x14ac:dyDescent="0.35">
      <c r="A489" s="93" t="s">
        <v>859</v>
      </c>
      <c r="B489" s="144" t="s">
        <v>860</v>
      </c>
      <c r="C489" s="26" t="s">
        <v>934</v>
      </c>
      <c r="D489" s="85"/>
      <c r="E489" s="63"/>
      <c r="F489" s="83"/>
      <c r="G489" s="64"/>
      <c r="H489" s="85"/>
      <c r="I489" s="67"/>
      <c r="J489" s="71"/>
      <c r="K489" s="84">
        <f t="shared" si="47"/>
        <v>0</v>
      </c>
      <c r="L489" s="67">
        <f t="shared" si="48"/>
        <v>0</v>
      </c>
    </row>
    <row r="490" spans="1:12" hidden="1" outlineLevel="1" x14ac:dyDescent="0.35">
      <c r="A490" s="93" t="s">
        <v>861</v>
      </c>
      <c r="B490" s="144" t="s">
        <v>862</v>
      </c>
      <c r="C490" s="26" t="s">
        <v>934</v>
      </c>
      <c r="D490" s="85"/>
      <c r="E490" s="63"/>
      <c r="F490" s="83"/>
      <c r="G490" s="64">
        <v>5887</v>
      </c>
      <c r="H490" s="85"/>
      <c r="I490" s="67"/>
      <c r="J490" s="71"/>
      <c r="K490" s="84">
        <f t="shared" si="47"/>
        <v>0</v>
      </c>
      <c r="L490" s="67">
        <f t="shared" si="48"/>
        <v>5887</v>
      </c>
    </row>
    <row r="491" spans="1:12" hidden="1" outlineLevel="1" x14ac:dyDescent="0.35">
      <c r="A491" s="93" t="s">
        <v>863</v>
      </c>
      <c r="B491" s="144" t="s">
        <v>864</v>
      </c>
      <c r="C491" s="26" t="s">
        <v>934</v>
      </c>
      <c r="D491" s="85"/>
      <c r="E491" s="63"/>
      <c r="F491" s="83"/>
      <c r="G491" s="64"/>
      <c r="H491" s="85"/>
      <c r="I491" s="67"/>
      <c r="J491" s="71"/>
      <c r="K491" s="84">
        <f t="shared" si="47"/>
        <v>0</v>
      </c>
      <c r="L491" s="67">
        <f t="shared" si="48"/>
        <v>0</v>
      </c>
    </row>
    <row r="492" spans="1:12" hidden="1" outlineLevel="1" x14ac:dyDescent="0.35">
      <c r="A492" s="93" t="s">
        <v>865</v>
      </c>
      <c r="B492" s="144" t="s">
        <v>866</v>
      </c>
      <c r="C492" s="26" t="s">
        <v>934</v>
      </c>
      <c r="D492" s="85"/>
      <c r="E492" s="63"/>
      <c r="F492" s="83"/>
      <c r="G492" s="64"/>
      <c r="H492" s="85"/>
      <c r="I492" s="67"/>
      <c r="J492" s="71"/>
      <c r="K492" s="84">
        <f t="shared" si="47"/>
        <v>0</v>
      </c>
      <c r="L492" s="67">
        <f t="shared" si="48"/>
        <v>0</v>
      </c>
    </row>
    <row r="493" spans="1:12" s="12" customFormat="1" x14ac:dyDescent="0.35">
      <c r="A493" s="105"/>
      <c r="B493" s="109" t="s">
        <v>1288</v>
      </c>
      <c r="C493" s="36"/>
      <c r="D493" s="90">
        <f>D473+D474-D486</f>
        <v>-503015.80564627331</v>
      </c>
      <c r="E493" s="59">
        <f t="shared" ref="E493:H493" si="57">E473+E474-E486</f>
        <v>414892.7521590828</v>
      </c>
      <c r="F493" s="90">
        <f t="shared" si="57"/>
        <v>-503183.93569925241</v>
      </c>
      <c r="G493" s="59">
        <f>G473+G474-G486</f>
        <v>519377.4360258365</v>
      </c>
      <c r="H493" s="90">
        <f t="shared" si="57"/>
        <v>25924.553160606883</v>
      </c>
      <c r="I493" s="59">
        <f>I473+I474-I486</f>
        <v>108728</v>
      </c>
      <c r="J493" s="90"/>
      <c r="K493" s="59">
        <f>K473+K474-K486</f>
        <v>115422</v>
      </c>
      <c r="L493" s="90">
        <f>L473+L474-L486</f>
        <v>69417.000000000466</v>
      </c>
    </row>
    <row r="494" spans="1:12" ht="15" collapsed="1" thickBot="1" x14ac:dyDescent="0.4">
      <c r="A494" s="93"/>
      <c r="B494" s="144" t="s">
        <v>935</v>
      </c>
      <c r="C494" s="26"/>
      <c r="D494" s="85">
        <f>SUM(D495:D496)</f>
        <v>0</v>
      </c>
      <c r="E494" s="65">
        <f t="shared" ref="E494:I494" si="58">SUM(E495:E496)</f>
        <v>0</v>
      </c>
      <c r="F494" s="85">
        <f t="shared" si="58"/>
        <v>0</v>
      </c>
      <c r="G494" s="65">
        <f t="shared" si="58"/>
        <v>0</v>
      </c>
      <c r="H494" s="85">
        <f t="shared" si="58"/>
        <v>0</v>
      </c>
      <c r="I494" s="65">
        <f t="shared" si="58"/>
        <v>0</v>
      </c>
      <c r="J494" s="71"/>
      <c r="K494" s="84">
        <f t="shared" si="47"/>
        <v>0</v>
      </c>
      <c r="L494" s="67">
        <f t="shared" si="48"/>
        <v>0</v>
      </c>
    </row>
    <row r="495" spans="1:12" ht="15" hidden="1" outlineLevel="1" thickBot="1" x14ac:dyDescent="0.4">
      <c r="A495" s="93" t="s">
        <v>867</v>
      </c>
      <c r="B495" s="144" t="s">
        <v>868</v>
      </c>
      <c r="C495" s="26" t="s">
        <v>935</v>
      </c>
      <c r="D495" s="85"/>
      <c r="E495" s="63"/>
      <c r="F495" s="83"/>
      <c r="G495" s="64"/>
      <c r="H495" s="85"/>
      <c r="I495" s="67"/>
      <c r="J495" s="71"/>
      <c r="K495" s="84">
        <f t="shared" si="47"/>
        <v>0</v>
      </c>
      <c r="L495" s="67">
        <f t="shared" si="48"/>
        <v>0</v>
      </c>
    </row>
    <row r="496" spans="1:12" ht="15" hidden="1" outlineLevel="1" thickBot="1" x14ac:dyDescent="0.4">
      <c r="A496" s="93" t="s">
        <v>869</v>
      </c>
      <c r="B496" s="144" t="s">
        <v>870</v>
      </c>
      <c r="C496" s="26" t="s">
        <v>935</v>
      </c>
      <c r="D496" s="85"/>
      <c r="E496" s="63"/>
      <c r="F496" s="83"/>
      <c r="G496" s="64"/>
      <c r="H496" s="85"/>
      <c r="I496" s="67"/>
      <c r="J496" s="71"/>
      <c r="K496" s="84">
        <f t="shared" si="47"/>
        <v>0</v>
      </c>
      <c r="L496" s="67">
        <f t="shared" si="48"/>
        <v>0</v>
      </c>
    </row>
    <row r="497" spans="1:12" ht="15" collapsed="1" thickBot="1" x14ac:dyDescent="0.4">
      <c r="A497" s="106"/>
      <c r="B497" s="108" t="s">
        <v>872</v>
      </c>
      <c r="C497" s="34"/>
      <c r="D497" s="114">
        <f>SUM(D498:D501)</f>
        <v>0</v>
      </c>
      <c r="E497" s="115">
        <f t="shared" ref="E497:H497" si="59">SUM(E498:E501)</f>
        <v>0</v>
      </c>
      <c r="F497" s="114">
        <f t="shared" si="59"/>
        <v>0</v>
      </c>
      <c r="G497" s="115">
        <f t="shared" si="59"/>
        <v>462777</v>
      </c>
      <c r="H497" s="114">
        <f t="shared" si="59"/>
        <v>0</v>
      </c>
      <c r="I497" s="115">
        <f>SUM(I498:I501)</f>
        <v>108728</v>
      </c>
      <c r="J497" s="114"/>
      <c r="K497" s="114">
        <f>K493</f>
        <v>115422</v>
      </c>
      <c r="L497" s="113">
        <f>K497+D497+E497+F497+G497+H497</f>
        <v>578199</v>
      </c>
    </row>
    <row r="498" spans="1:12" hidden="1" outlineLevel="1" x14ac:dyDescent="0.35">
      <c r="A498" s="15" t="s">
        <v>871</v>
      </c>
      <c r="B498" s="21" t="s">
        <v>872</v>
      </c>
      <c r="C498" s="21" t="s">
        <v>872</v>
      </c>
      <c r="E498" s="32"/>
      <c r="F498" s="32"/>
      <c r="G498" s="33"/>
    </row>
    <row r="499" spans="1:12" hidden="1" outlineLevel="1" x14ac:dyDescent="0.35">
      <c r="A499" s="15" t="s">
        <v>873</v>
      </c>
      <c r="B499" s="21" t="s">
        <v>874</v>
      </c>
      <c r="C499" s="21" t="s">
        <v>872</v>
      </c>
      <c r="E499" s="32"/>
      <c r="F499" s="32"/>
      <c r="G499" s="33"/>
    </row>
    <row r="500" spans="1:12" hidden="1" outlineLevel="1" x14ac:dyDescent="0.35">
      <c r="A500" s="15" t="s">
        <v>875</v>
      </c>
      <c r="B500" s="21" t="s">
        <v>876</v>
      </c>
      <c r="C500" s="21" t="s">
        <v>872</v>
      </c>
      <c r="E500" s="32"/>
      <c r="F500" s="32"/>
      <c r="G500" s="33">
        <v>462777</v>
      </c>
      <c r="I500" s="27">
        <v>108728</v>
      </c>
    </row>
    <row r="501" spans="1:12" hidden="1" outlineLevel="1" x14ac:dyDescent="0.35">
      <c r="A501" s="15" t="s">
        <v>877</v>
      </c>
      <c r="B501" s="21" t="s">
        <v>878</v>
      </c>
      <c r="C501" s="21" t="s">
        <v>872</v>
      </c>
      <c r="E501" s="32"/>
      <c r="F501" s="32"/>
      <c r="G501" s="33"/>
    </row>
    <row r="502" spans="1:12" collapsed="1" x14ac:dyDescent="0.35">
      <c r="B502" s="22"/>
      <c r="C502" s="22"/>
      <c r="G502" s="33"/>
    </row>
    <row r="503" spans="1:12" x14ac:dyDescent="0.35">
      <c r="B503" s="22"/>
      <c r="C503" s="22"/>
      <c r="G503" s="33"/>
    </row>
    <row r="504" spans="1:12" x14ac:dyDescent="0.35">
      <c r="B504"/>
      <c r="C504" s="92" t="s">
        <v>1139</v>
      </c>
      <c r="D504"/>
      <c r="E504" s="23"/>
      <c r="G504" s="33"/>
    </row>
    <row r="505" spans="1:12" x14ac:dyDescent="0.35">
      <c r="B505" s="24"/>
      <c r="C505"/>
      <c r="D505"/>
      <c r="E505" s="23"/>
      <c r="G505" s="33"/>
    </row>
    <row r="506" spans="1:12" x14ac:dyDescent="0.35">
      <c r="B506" s="22"/>
      <c r="C506" s="22"/>
      <c r="G506" s="33"/>
    </row>
    <row r="507" spans="1:12" x14ac:dyDescent="0.35">
      <c r="B507" s="22"/>
      <c r="C507" s="22"/>
      <c r="G507" s="33"/>
    </row>
    <row r="508" spans="1:12" x14ac:dyDescent="0.35">
      <c r="B508" s="22"/>
      <c r="C508" s="22"/>
      <c r="G508" s="33"/>
    </row>
    <row r="509" spans="1:12" x14ac:dyDescent="0.35">
      <c r="B509" s="22"/>
      <c r="C509" s="22"/>
      <c r="G509" s="33"/>
    </row>
    <row r="510" spans="1:12" x14ac:dyDescent="0.35">
      <c r="B510" s="22"/>
      <c r="C510" s="22"/>
      <c r="G510" s="33"/>
    </row>
    <row r="511" spans="1:12" x14ac:dyDescent="0.35">
      <c r="B511" s="22"/>
      <c r="C511" s="22"/>
      <c r="G511" s="33"/>
    </row>
    <row r="512" spans="1:12" x14ac:dyDescent="0.35">
      <c r="B512" s="22"/>
      <c r="C512" s="22"/>
      <c r="G512" s="33"/>
    </row>
    <row r="513" spans="2:7" x14ac:dyDescent="0.35">
      <c r="B513" s="22"/>
      <c r="C513" s="22"/>
      <c r="G513" s="33"/>
    </row>
    <row r="514" spans="2:7" x14ac:dyDescent="0.35">
      <c r="B514" s="22"/>
      <c r="C514" s="22"/>
      <c r="G514" s="33"/>
    </row>
    <row r="515" spans="2:7" x14ac:dyDescent="0.35">
      <c r="B515" s="22"/>
      <c r="C515" s="22"/>
      <c r="G515" s="33"/>
    </row>
    <row r="516" spans="2:7" x14ac:dyDescent="0.35">
      <c r="B516" s="22"/>
      <c r="C516" s="22"/>
      <c r="G516" s="33"/>
    </row>
    <row r="517" spans="2:7" x14ac:dyDescent="0.35">
      <c r="B517" s="22"/>
      <c r="C517" s="22"/>
      <c r="G517" s="33"/>
    </row>
    <row r="518" spans="2:7" x14ac:dyDescent="0.35">
      <c r="B518" s="22"/>
      <c r="C518" s="22"/>
      <c r="G518" s="33"/>
    </row>
    <row r="519" spans="2:7" x14ac:dyDescent="0.35">
      <c r="B519" s="22"/>
      <c r="C519" s="22"/>
      <c r="G519" s="33"/>
    </row>
    <row r="520" spans="2:7" x14ac:dyDescent="0.35">
      <c r="B520" s="22"/>
      <c r="C520" s="22"/>
      <c r="G520" s="33"/>
    </row>
    <row r="521" spans="2:7" x14ac:dyDescent="0.35">
      <c r="B521" s="22"/>
      <c r="C521" s="22"/>
      <c r="G521" s="33"/>
    </row>
    <row r="522" spans="2:7" x14ac:dyDescent="0.35">
      <c r="B522" s="22"/>
      <c r="C522" s="22"/>
      <c r="G522" s="33"/>
    </row>
  </sheetData>
  <dataConsolidate/>
  <pageMargins left="0.51181102362204722" right="0.51181102362204722" top="0.74803149606299213" bottom="0.74803149606299213" header="0.31496062992125984" footer="0.31496062992125984"/>
  <pageSetup paperSize="9" scale="59" fitToHeight="13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6ED2-E41D-411C-9BF3-9D7F9C32E576}">
  <sheetPr>
    <tabColor rgb="FFFFFFCC"/>
    <outlinePr summaryBelow="0" summaryRight="0"/>
    <pageSetUpPr fitToPage="1"/>
  </sheetPr>
  <dimension ref="A1:N522"/>
  <sheetViews>
    <sheetView zoomScaleNormal="100" workbookViewId="0">
      <pane ySplit="3" topLeftCell="A172" activePane="bottomLeft" state="frozen"/>
      <selection pane="bottomLeft" activeCell="M474" sqref="M474"/>
    </sheetView>
  </sheetViews>
  <sheetFormatPr baseColWidth="10" defaultColWidth="9.1796875" defaultRowHeight="14.5" outlineLevelRow="1" x14ac:dyDescent="0.35"/>
  <cols>
    <col min="1" max="1" width="6.453125" style="14" customWidth="1"/>
    <col min="2" max="2" width="61.54296875" style="16" customWidth="1"/>
    <col min="3" max="3" width="1" style="16" hidden="1" customWidth="1"/>
    <col min="4" max="4" width="17.81640625" style="194" customWidth="1"/>
    <col min="5" max="5" width="26.453125" style="27" customWidth="1"/>
    <col min="6" max="6" width="17.453125" style="27" customWidth="1"/>
    <col min="7" max="7" width="17.453125" style="28" customWidth="1"/>
    <col min="8" max="9" width="17.453125" style="27" customWidth="1"/>
    <col min="10" max="10" width="16.81640625" customWidth="1"/>
    <col min="11" max="11" width="17.1796875" customWidth="1"/>
    <col min="12" max="12" width="19.453125" customWidth="1"/>
    <col min="14" max="14" width="10.1796875" bestFit="1" customWidth="1"/>
  </cols>
  <sheetData>
    <row r="1" spans="1:12" x14ac:dyDescent="0.35">
      <c r="B1" s="17" t="s">
        <v>1291</v>
      </c>
    </row>
    <row r="2" spans="1:12" x14ac:dyDescent="0.35">
      <c r="D2" s="195" t="s">
        <v>1299</v>
      </c>
      <c r="E2" s="125" t="s">
        <v>1299</v>
      </c>
      <c r="F2" s="125" t="s">
        <v>1299</v>
      </c>
      <c r="G2" s="125" t="s">
        <v>1299</v>
      </c>
      <c r="H2" s="125" t="s">
        <v>1299</v>
      </c>
      <c r="I2" s="125" t="s">
        <v>1299</v>
      </c>
      <c r="J2" s="125" t="s">
        <v>1300</v>
      </c>
    </row>
    <row r="3" spans="1:12" x14ac:dyDescent="0.35">
      <c r="A3" s="18" t="s">
        <v>1</v>
      </c>
      <c r="B3" s="181" t="s">
        <v>2</v>
      </c>
      <c r="C3" s="20" t="s">
        <v>880</v>
      </c>
      <c r="D3" s="107" t="s">
        <v>1278</v>
      </c>
      <c r="E3" s="29" t="s">
        <v>1279</v>
      </c>
      <c r="F3" s="107" t="s">
        <v>1280</v>
      </c>
      <c r="G3" s="30" t="s">
        <v>1277</v>
      </c>
      <c r="H3" s="107" t="s">
        <v>1281</v>
      </c>
      <c r="I3" s="31" t="s">
        <v>1296</v>
      </c>
      <c r="J3" s="107" t="s">
        <v>1297</v>
      </c>
      <c r="K3" s="131" t="s">
        <v>1298</v>
      </c>
      <c r="L3" s="126" t="s">
        <v>1301</v>
      </c>
    </row>
    <row r="4" spans="1:12" x14ac:dyDescent="0.35">
      <c r="A4" s="93" t="s">
        <v>3</v>
      </c>
      <c r="B4" s="182" t="s">
        <v>4</v>
      </c>
      <c r="C4" s="26"/>
      <c r="D4" s="83"/>
      <c r="E4" s="63"/>
      <c r="F4" s="83"/>
      <c r="G4" s="64"/>
      <c r="H4" s="85"/>
      <c r="I4" s="66"/>
      <c r="K4" s="132"/>
      <c r="L4" s="127"/>
    </row>
    <row r="5" spans="1:12" collapsed="1" x14ac:dyDescent="0.35">
      <c r="A5" s="93"/>
      <c r="B5" s="182" t="s">
        <v>882</v>
      </c>
      <c r="C5" s="26"/>
      <c r="D5" s="84">
        <f>SUM(D6:D11)</f>
        <v>0</v>
      </c>
      <c r="E5" s="64">
        <f t="shared" ref="D5:I14" si="0">SUM(E6:E11)</f>
        <v>0</v>
      </c>
      <c r="F5" s="84">
        <f t="shared" si="0"/>
        <v>0</v>
      </c>
      <c r="G5" s="64">
        <f t="shared" si="0"/>
        <v>0</v>
      </c>
      <c r="H5" s="84">
        <f t="shared" si="0"/>
        <v>0</v>
      </c>
      <c r="I5" s="84">
        <f t="shared" si="0"/>
        <v>0</v>
      </c>
      <c r="J5" s="71"/>
      <c r="K5" s="84">
        <f>J5+I5</f>
        <v>0</v>
      </c>
      <c r="L5" s="67">
        <f>K5+D5+E5+F5+G5+H5</f>
        <v>0</v>
      </c>
    </row>
    <row r="6" spans="1:12" s="25" customFormat="1" hidden="1" outlineLevel="1" x14ac:dyDescent="0.35">
      <c r="A6" s="94" t="s">
        <v>5</v>
      </c>
      <c r="B6" s="182" t="s">
        <v>6</v>
      </c>
      <c r="C6" s="95"/>
      <c r="D6" s="84"/>
      <c r="E6" s="63"/>
      <c r="F6" s="83"/>
      <c r="G6" s="64"/>
      <c r="H6" s="85"/>
      <c r="I6" s="67"/>
      <c r="J6" s="71"/>
      <c r="K6" s="84">
        <f t="shared" ref="K6:K69" si="1">J6+I6</f>
        <v>0</v>
      </c>
      <c r="L6" s="67">
        <f t="shared" ref="L6:L69" si="2">K6+D6+E6+F6+G6+H6</f>
        <v>0</v>
      </c>
    </row>
    <row r="7" spans="1:12" s="25" customFormat="1" hidden="1" outlineLevel="1" x14ac:dyDescent="0.35">
      <c r="A7" s="94" t="s">
        <v>7</v>
      </c>
      <c r="B7" s="182" t="s">
        <v>8</v>
      </c>
      <c r="C7" s="26"/>
      <c r="D7" s="84"/>
      <c r="E7" s="63"/>
      <c r="F7" s="83"/>
      <c r="G7" s="64"/>
      <c r="H7" s="85"/>
      <c r="I7" s="67"/>
      <c r="J7" s="71"/>
      <c r="K7" s="84">
        <f t="shared" si="1"/>
        <v>0</v>
      </c>
      <c r="L7" s="67">
        <f t="shared" si="2"/>
        <v>0</v>
      </c>
    </row>
    <row r="8" spans="1:12" s="25" customFormat="1" hidden="1" outlineLevel="1" x14ac:dyDescent="0.35">
      <c r="A8" s="94" t="s">
        <v>9</v>
      </c>
      <c r="B8" s="182" t="s">
        <v>10</v>
      </c>
      <c r="C8" s="26" t="s">
        <v>882</v>
      </c>
      <c r="D8" s="84"/>
      <c r="E8" s="63"/>
      <c r="F8" s="83"/>
      <c r="G8" s="64"/>
      <c r="H8" s="85"/>
      <c r="I8" s="67"/>
      <c r="J8" s="71"/>
      <c r="K8" s="84">
        <f t="shared" si="1"/>
        <v>0</v>
      </c>
      <c r="L8" s="67">
        <f t="shared" si="2"/>
        <v>0</v>
      </c>
    </row>
    <row r="9" spans="1:12" s="25" customFormat="1" hidden="1" outlineLevel="1" x14ac:dyDescent="0.35">
      <c r="A9" s="94" t="s">
        <v>11</v>
      </c>
      <c r="B9" s="182" t="s">
        <v>883</v>
      </c>
      <c r="C9" s="26" t="s">
        <v>882</v>
      </c>
      <c r="D9" s="84"/>
      <c r="E9" s="63"/>
      <c r="F9" s="83"/>
      <c r="G9" s="64"/>
      <c r="H9" s="85"/>
      <c r="I9" s="67"/>
      <c r="J9" s="71"/>
      <c r="K9" s="84">
        <f t="shared" si="1"/>
        <v>0</v>
      </c>
      <c r="L9" s="67">
        <f t="shared" si="2"/>
        <v>0</v>
      </c>
    </row>
    <row r="10" spans="1:12" s="25" customFormat="1" hidden="1" outlineLevel="1" x14ac:dyDescent="0.35">
      <c r="A10" s="94" t="s">
        <v>12</v>
      </c>
      <c r="B10" s="182" t="s">
        <v>13</v>
      </c>
      <c r="C10" s="26" t="s">
        <v>882</v>
      </c>
      <c r="D10" s="84"/>
      <c r="E10" s="63"/>
      <c r="F10" s="83"/>
      <c r="G10" s="64"/>
      <c r="H10" s="85"/>
      <c r="I10" s="67"/>
      <c r="J10" s="71"/>
      <c r="K10" s="84">
        <f t="shared" si="1"/>
        <v>0</v>
      </c>
      <c r="L10" s="67">
        <f t="shared" si="2"/>
        <v>0</v>
      </c>
    </row>
    <row r="11" spans="1:12" s="25" customFormat="1" hidden="1" outlineLevel="1" x14ac:dyDescent="0.35">
      <c r="A11" s="94" t="s">
        <v>14</v>
      </c>
      <c r="B11" s="182" t="s">
        <v>15</v>
      </c>
      <c r="C11" s="26" t="s">
        <v>882</v>
      </c>
      <c r="D11" s="84"/>
      <c r="E11" s="63"/>
      <c r="F11" s="83"/>
      <c r="G11" s="64"/>
      <c r="H11" s="85"/>
      <c r="I11" s="67"/>
      <c r="J11" s="71"/>
      <c r="K11" s="84">
        <f t="shared" si="1"/>
        <v>0</v>
      </c>
      <c r="L11" s="67">
        <f t="shared" si="2"/>
        <v>0</v>
      </c>
    </row>
    <row r="12" spans="1:12" s="25" customFormat="1" x14ac:dyDescent="0.35">
      <c r="A12" s="94" t="s">
        <v>16</v>
      </c>
      <c r="B12" s="182" t="s">
        <v>17</v>
      </c>
      <c r="C12" s="26"/>
      <c r="D12" s="84"/>
      <c r="E12" s="63"/>
      <c r="F12" s="83"/>
      <c r="G12" s="64"/>
      <c r="H12" s="85"/>
      <c r="I12" s="67"/>
      <c r="J12" s="71"/>
      <c r="K12" s="84">
        <f t="shared" si="1"/>
        <v>0</v>
      </c>
      <c r="L12" s="67">
        <f t="shared" si="2"/>
        <v>0</v>
      </c>
    </row>
    <row r="13" spans="1:12" s="25" customFormat="1" x14ac:dyDescent="0.35">
      <c r="A13" s="94" t="s">
        <v>18</v>
      </c>
      <c r="B13" s="182" t="s">
        <v>19</v>
      </c>
      <c r="C13" s="26"/>
      <c r="D13" s="84"/>
      <c r="E13" s="63"/>
      <c r="F13" s="83"/>
      <c r="G13" s="64"/>
      <c r="H13" s="85"/>
      <c r="I13" s="67"/>
      <c r="J13" s="71"/>
      <c r="K13" s="84">
        <f t="shared" si="1"/>
        <v>0</v>
      </c>
      <c r="L13" s="67">
        <f t="shared" si="2"/>
        <v>0</v>
      </c>
    </row>
    <row r="14" spans="1:12" collapsed="1" x14ac:dyDescent="0.35">
      <c r="A14" s="93"/>
      <c r="B14" s="182" t="s">
        <v>885</v>
      </c>
      <c r="C14" s="26"/>
      <c r="D14" s="84">
        <f t="shared" si="0"/>
        <v>0</v>
      </c>
      <c r="E14" s="64">
        <v>4285000</v>
      </c>
      <c r="F14" s="84">
        <f t="shared" ref="F14" si="3">SUM(F15:F20)</f>
        <v>808832</v>
      </c>
      <c r="G14" s="64">
        <f>SUM(G15:G28)</f>
        <v>1024289</v>
      </c>
      <c r="H14" s="84">
        <f t="shared" ref="H14:I14" si="4">SUM(H15:H20)</f>
        <v>1053000</v>
      </c>
      <c r="I14" s="84">
        <f t="shared" si="4"/>
        <v>0</v>
      </c>
      <c r="J14" s="71"/>
      <c r="K14" s="84">
        <f>J14+I14</f>
        <v>0</v>
      </c>
      <c r="L14" s="67">
        <f>K14+D14+E14+F14+G14+H14</f>
        <v>7171121</v>
      </c>
    </row>
    <row r="15" spans="1:12" hidden="1" outlineLevel="1" x14ac:dyDescent="0.35">
      <c r="A15" s="93" t="s">
        <v>20</v>
      </c>
      <c r="B15" s="182" t="s">
        <v>21</v>
      </c>
      <c r="C15" s="95"/>
      <c r="D15" s="84"/>
      <c r="E15" s="63"/>
      <c r="F15" s="83">
        <v>43681</v>
      </c>
      <c r="G15" s="64">
        <v>132275</v>
      </c>
      <c r="H15" s="85">
        <v>48000</v>
      </c>
      <c r="I15" s="67"/>
      <c r="J15" s="71"/>
      <c r="K15" s="84">
        <f t="shared" si="1"/>
        <v>0</v>
      </c>
      <c r="L15" s="67">
        <f t="shared" si="2"/>
        <v>223956</v>
      </c>
    </row>
    <row r="16" spans="1:12" hidden="1" outlineLevel="1" x14ac:dyDescent="0.35">
      <c r="A16" s="93" t="s">
        <v>22</v>
      </c>
      <c r="B16" s="182" t="s">
        <v>23</v>
      </c>
      <c r="C16" s="26" t="s">
        <v>885</v>
      </c>
      <c r="D16" s="84"/>
      <c r="E16" s="63"/>
      <c r="F16" s="83">
        <v>545151</v>
      </c>
      <c r="G16" s="64">
        <v>20016</v>
      </c>
      <c r="H16" s="85">
        <v>105000</v>
      </c>
      <c r="I16" s="67"/>
      <c r="J16" s="71"/>
      <c r="K16" s="84">
        <f t="shared" si="1"/>
        <v>0</v>
      </c>
      <c r="L16" s="67">
        <f t="shared" si="2"/>
        <v>670167</v>
      </c>
    </row>
    <row r="17" spans="1:12" hidden="1" outlineLevel="1" x14ac:dyDescent="0.35">
      <c r="A17" s="93" t="s">
        <v>24</v>
      </c>
      <c r="B17" s="182" t="s">
        <v>25</v>
      </c>
      <c r="C17" s="26" t="s">
        <v>885</v>
      </c>
      <c r="D17" s="84"/>
      <c r="E17" s="63"/>
      <c r="F17" s="83">
        <v>220000</v>
      </c>
      <c r="G17" s="64">
        <v>10000</v>
      </c>
      <c r="H17" s="85">
        <v>425000</v>
      </c>
      <c r="I17" s="67"/>
      <c r="J17" s="71"/>
      <c r="K17" s="84">
        <f t="shared" si="1"/>
        <v>0</v>
      </c>
      <c r="L17" s="67">
        <f t="shared" si="2"/>
        <v>655000</v>
      </c>
    </row>
    <row r="18" spans="1:12" hidden="1" outlineLevel="1" x14ac:dyDescent="0.35">
      <c r="A18" s="93" t="s">
        <v>26</v>
      </c>
      <c r="B18" s="182" t="s">
        <v>27</v>
      </c>
      <c r="C18" s="26" t="s">
        <v>885</v>
      </c>
      <c r="D18" s="84"/>
      <c r="E18" s="63"/>
      <c r="F18" s="83"/>
      <c r="G18" s="64">
        <v>437553</v>
      </c>
      <c r="H18" s="85">
        <v>200000</v>
      </c>
      <c r="I18" s="67"/>
      <c r="J18" s="71"/>
      <c r="K18" s="84">
        <f t="shared" si="1"/>
        <v>0</v>
      </c>
      <c r="L18" s="67">
        <f t="shared" si="2"/>
        <v>637553</v>
      </c>
    </row>
    <row r="19" spans="1:12" s="11" customFormat="1" hidden="1" outlineLevel="1" x14ac:dyDescent="0.35">
      <c r="A19" s="93">
        <v>1104</v>
      </c>
      <c r="B19" s="182" t="s">
        <v>28</v>
      </c>
      <c r="C19" s="26" t="s">
        <v>885</v>
      </c>
      <c r="D19" s="84"/>
      <c r="E19" s="63"/>
      <c r="F19" s="83"/>
      <c r="G19" s="54">
        <v>9445</v>
      </c>
      <c r="H19" s="83">
        <v>100000</v>
      </c>
      <c r="I19" s="67"/>
      <c r="J19" s="71"/>
      <c r="K19" s="84">
        <f t="shared" si="1"/>
        <v>0</v>
      </c>
      <c r="L19" s="67">
        <f t="shared" si="2"/>
        <v>109445</v>
      </c>
    </row>
    <row r="20" spans="1:12" hidden="1" outlineLevel="1" x14ac:dyDescent="0.35">
      <c r="A20" s="93" t="s">
        <v>29</v>
      </c>
      <c r="B20" s="182" t="s">
        <v>30</v>
      </c>
      <c r="C20" s="26" t="s">
        <v>885</v>
      </c>
      <c r="D20" s="84"/>
      <c r="E20" s="63"/>
      <c r="F20" s="83"/>
      <c r="G20" s="64"/>
      <c r="H20" s="85">
        <v>175000</v>
      </c>
      <c r="I20" s="67"/>
      <c r="J20" s="71"/>
      <c r="K20" s="84">
        <f t="shared" si="1"/>
        <v>0</v>
      </c>
      <c r="L20" s="67">
        <f t="shared" si="2"/>
        <v>175000</v>
      </c>
    </row>
    <row r="21" spans="1:12" hidden="1" outlineLevel="1" x14ac:dyDescent="0.35">
      <c r="A21" s="93" t="s">
        <v>31</v>
      </c>
      <c r="B21" s="182" t="s">
        <v>32</v>
      </c>
      <c r="C21" s="26" t="s">
        <v>885</v>
      </c>
      <c r="D21" s="84"/>
      <c r="E21" s="63"/>
      <c r="F21" s="83"/>
      <c r="G21" s="64"/>
      <c r="H21" s="85"/>
      <c r="I21" s="67"/>
      <c r="J21" s="71"/>
      <c r="K21" s="84">
        <f t="shared" si="1"/>
        <v>0</v>
      </c>
      <c r="L21" s="67">
        <f t="shared" si="2"/>
        <v>0</v>
      </c>
    </row>
    <row r="22" spans="1:12" hidden="1" outlineLevel="1" x14ac:dyDescent="0.35">
      <c r="A22" s="93" t="s">
        <v>33</v>
      </c>
      <c r="B22" s="182" t="s">
        <v>34</v>
      </c>
      <c r="C22" s="26" t="s">
        <v>885</v>
      </c>
      <c r="D22" s="84"/>
      <c r="E22" s="63"/>
      <c r="F22" s="83"/>
      <c r="G22" s="64"/>
      <c r="H22" s="85"/>
      <c r="I22" s="67"/>
      <c r="J22" s="71"/>
      <c r="K22" s="84">
        <f t="shared" si="1"/>
        <v>0</v>
      </c>
      <c r="L22" s="67">
        <f t="shared" si="2"/>
        <v>0</v>
      </c>
    </row>
    <row r="23" spans="1:12" hidden="1" outlineLevel="1" x14ac:dyDescent="0.35">
      <c r="A23" s="93" t="s">
        <v>35</v>
      </c>
      <c r="B23" s="182" t="s">
        <v>36</v>
      </c>
      <c r="C23" s="26" t="s">
        <v>885</v>
      </c>
      <c r="D23" s="84"/>
      <c r="E23" s="63"/>
      <c r="F23" s="83"/>
      <c r="G23" s="64"/>
      <c r="H23" s="85"/>
      <c r="I23" s="67"/>
      <c r="J23" s="71"/>
      <c r="K23" s="84">
        <f t="shared" si="1"/>
        <v>0</v>
      </c>
      <c r="L23" s="67">
        <f t="shared" si="2"/>
        <v>0</v>
      </c>
    </row>
    <row r="24" spans="1:12" hidden="1" outlineLevel="1" x14ac:dyDescent="0.35">
      <c r="A24" s="93" t="s">
        <v>37</v>
      </c>
      <c r="B24" s="182" t="s">
        <v>38</v>
      </c>
      <c r="C24" s="26" t="s">
        <v>885</v>
      </c>
      <c r="D24" s="84"/>
      <c r="E24" s="63"/>
      <c r="F24" s="83"/>
      <c r="G24" s="64"/>
      <c r="H24" s="85"/>
      <c r="I24" s="67"/>
      <c r="J24" s="71"/>
      <c r="K24" s="84">
        <f t="shared" si="1"/>
        <v>0</v>
      </c>
      <c r="L24" s="67">
        <f t="shared" si="2"/>
        <v>0</v>
      </c>
    </row>
    <row r="25" spans="1:12" hidden="1" outlineLevel="1" x14ac:dyDescent="0.35">
      <c r="A25" s="93" t="s">
        <v>39</v>
      </c>
      <c r="B25" s="182" t="s">
        <v>40</v>
      </c>
      <c r="C25" s="26" t="s">
        <v>885</v>
      </c>
      <c r="D25" s="84"/>
      <c r="E25" s="63"/>
      <c r="F25" s="83"/>
      <c r="G25" s="64"/>
      <c r="H25" s="85"/>
      <c r="I25" s="67"/>
      <c r="J25" s="71"/>
      <c r="K25" s="84">
        <f t="shared" si="1"/>
        <v>0</v>
      </c>
      <c r="L25" s="67">
        <f t="shared" si="2"/>
        <v>0</v>
      </c>
    </row>
    <row r="26" spans="1:12" hidden="1" outlineLevel="1" x14ac:dyDescent="0.35">
      <c r="A26" s="93" t="s">
        <v>41</v>
      </c>
      <c r="B26" s="182" t="s">
        <v>42</v>
      </c>
      <c r="C26" s="26" t="s">
        <v>885</v>
      </c>
      <c r="D26" s="84"/>
      <c r="E26" s="63"/>
      <c r="F26" s="83"/>
      <c r="G26" s="64"/>
      <c r="H26" s="85"/>
      <c r="I26" s="67"/>
      <c r="J26" s="71"/>
      <c r="K26" s="84">
        <f t="shared" si="1"/>
        <v>0</v>
      </c>
      <c r="L26" s="67">
        <f t="shared" si="2"/>
        <v>0</v>
      </c>
    </row>
    <row r="27" spans="1:12" hidden="1" outlineLevel="1" x14ac:dyDescent="0.35">
      <c r="A27" s="93" t="s">
        <v>43</v>
      </c>
      <c r="B27" s="182" t="s">
        <v>44</v>
      </c>
      <c r="C27" s="26" t="s">
        <v>885</v>
      </c>
      <c r="D27" s="84"/>
      <c r="E27" s="63"/>
      <c r="F27" s="83"/>
      <c r="G27" s="64">
        <f>200000+215000</f>
        <v>415000</v>
      </c>
      <c r="H27" s="85"/>
      <c r="I27" s="67"/>
      <c r="J27" s="71"/>
      <c r="K27" s="84">
        <f t="shared" si="1"/>
        <v>0</v>
      </c>
      <c r="L27" s="67">
        <f t="shared" si="2"/>
        <v>415000</v>
      </c>
    </row>
    <row r="28" spans="1:12" hidden="1" outlineLevel="1" x14ac:dyDescent="0.35">
      <c r="A28" s="93" t="s">
        <v>45</v>
      </c>
      <c r="B28" s="182" t="s">
        <v>46</v>
      </c>
      <c r="C28" s="26" t="s">
        <v>885</v>
      </c>
      <c r="D28" s="84"/>
      <c r="E28" s="63"/>
      <c r="F28" s="83"/>
      <c r="G28" s="64"/>
      <c r="H28" s="85"/>
      <c r="I28" s="67"/>
      <c r="J28" s="71"/>
      <c r="K28" s="84">
        <f t="shared" si="1"/>
        <v>0</v>
      </c>
      <c r="L28" s="67">
        <f t="shared" si="2"/>
        <v>0</v>
      </c>
    </row>
    <row r="29" spans="1:12" collapsed="1" x14ac:dyDescent="0.35">
      <c r="A29" s="96"/>
      <c r="B29" s="183" t="s">
        <v>48</v>
      </c>
      <c r="C29" s="95"/>
      <c r="D29" s="85">
        <f>SUM(D30:D31)</f>
        <v>0</v>
      </c>
      <c r="E29" s="65">
        <f t="shared" ref="E29:G29" si="5">SUM(E30:E31)</f>
        <v>0</v>
      </c>
      <c r="F29" s="85">
        <f t="shared" si="5"/>
        <v>0</v>
      </c>
      <c r="G29" s="65">
        <f t="shared" si="5"/>
        <v>0</v>
      </c>
      <c r="H29" s="85">
        <f>SUM(H30:H31)</f>
        <v>0</v>
      </c>
      <c r="I29" s="85">
        <f t="shared" ref="I29" si="6">SUM(I30:I31)</f>
        <v>0</v>
      </c>
      <c r="J29" s="71"/>
      <c r="K29" s="84">
        <f t="shared" si="1"/>
        <v>0</v>
      </c>
      <c r="L29" s="67">
        <f t="shared" si="2"/>
        <v>0</v>
      </c>
    </row>
    <row r="30" spans="1:12" hidden="1" outlineLevel="1" collapsed="1" x14ac:dyDescent="0.35">
      <c r="A30" s="93" t="s">
        <v>47</v>
      </c>
      <c r="B30" s="182" t="s">
        <v>48</v>
      </c>
      <c r="C30" s="26" t="s">
        <v>48</v>
      </c>
      <c r="D30" s="84"/>
      <c r="E30" s="64"/>
      <c r="F30" s="84"/>
      <c r="G30" s="64"/>
      <c r="H30" s="85"/>
      <c r="I30" s="67"/>
      <c r="J30" s="71"/>
      <c r="K30" s="84">
        <f t="shared" si="1"/>
        <v>0</v>
      </c>
      <c r="L30" s="67">
        <f t="shared" si="2"/>
        <v>0</v>
      </c>
    </row>
    <row r="31" spans="1:12" hidden="1" outlineLevel="1" x14ac:dyDescent="0.35">
      <c r="A31" s="93" t="s">
        <v>49</v>
      </c>
      <c r="B31" s="182" t="s">
        <v>50</v>
      </c>
      <c r="C31" s="26" t="s">
        <v>48</v>
      </c>
      <c r="D31" s="84"/>
      <c r="E31" s="63"/>
      <c r="F31" s="83"/>
      <c r="G31" s="64"/>
      <c r="H31" s="85"/>
      <c r="I31" s="67"/>
      <c r="J31" s="71"/>
      <c r="K31" s="84">
        <f t="shared" si="1"/>
        <v>0</v>
      </c>
      <c r="L31" s="67">
        <f t="shared" si="2"/>
        <v>0</v>
      </c>
    </row>
    <row r="32" spans="1:12" collapsed="1" x14ac:dyDescent="0.35">
      <c r="A32" s="96"/>
      <c r="B32" s="182" t="s">
        <v>886</v>
      </c>
      <c r="C32" s="95"/>
      <c r="D32" s="85">
        <f>SUM(D33:D38)</f>
        <v>0</v>
      </c>
      <c r="E32" s="65">
        <f t="shared" ref="E32:G32" si="7">SUM(E33:E38)</f>
        <v>0</v>
      </c>
      <c r="F32" s="85">
        <f t="shared" si="7"/>
        <v>165000</v>
      </c>
      <c r="G32" s="65">
        <f t="shared" si="7"/>
        <v>292132</v>
      </c>
      <c r="H32" s="85">
        <f>SUM(H33:H38)</f>
        <v>157100</v>
      </c>
      <c r="I32" s="85">
        <f t="shared" ref="I32" si="8">SUM(I33:I38)</f>
        <v>0</v>
      </c>
      <c r="J32" s="71"/>
      <c r="K32" s="84">
        <f t="shared" si="1"/>
        <v>0</v>
      </c>
      <c r="L32" s="67">
        <f t="shared" si="2"/>
        <v>614232</v>
      </c>
    </row>
    <row r="33" spans="1:12" hidden="1" outlineLevel="1" collapsed="1" x14ac:dyDescent="0.35">
      <c r="A33" s="93" t="s">
        <v>51</v>
      </c>
      <c r="B33" s="182" t="s">
        <v>52</v>
      </c>
      <c r="C33" s="26" t="s">
        <v>886</v>
      </c>
      <c r="D33" s="84"/>
      <c r="E33" s="63"/>
      <c r="F33" s="83"/>
      <c r="G33" s="64"/>
      <c r="H33" s="85">
        <v>42000</v>
      </c>
      <c r="I33" s="67"/>
      <c r="J33" s="71"/>
      <c r="K33" s="84">
        <f t="shared" si="1"/>
        <v>0</v>
      </c>
      <c r="L33" s="67">
        <f t="shared" si="2"/>
        <v>42000</v>
      </c>
    </row>
    <row r="34" spans="1:12" hidden="1" outlineLevel="1" x14ac:dyDescent="0.35">
      <c r="A34" s="93" t="s">
        <v>53</v>
      </c>
      <c r="B34" s="182" t="s">
        <v>54</v>
      </c>
      <c r="C34" s="26" t="s">
        <v>886</v>
      </c>
      <c r="D34" s="84"/>
      <c r="E34" s="63"/>
      <c r="F34" s="83">
        <v>165000</v>
      </c>
      <c r="G34" s="64">
        <f>24441+148907+118784</f>
        <v>292132</v>
      </c>
      <c r="H34" s="85">
        <f>7800+107300</f>
        <v>115100</v>
      </c>
      <c r="I34" s="67"/>
      <c r="J34" s="71"/>
      <c r="K34" s="84">
        <f t="shared" si="1"/>
        <v>0</v>
      </c>
      <c r="L34" s="67">
        <f t="shared" si="2"/>
        <v>572232</v>
      </c>
    </row>
    <row r="35" spans="1:12" hidden="1" outlineLevel="1" x14ac:dyDescent="0.35">
      <c r="A35" s="93" t="s">
        <v>55</v>
      </c>
      <c r="B35" s="182" t="s">
        <v>56</v>
      </c>
      <c r="C35" s="26" t="s">
        <v>886</v>
      </c>
      <c r="D35" s="84"/>
      <c r="E35" s="63"/>
      <c r="F35" s="83"/>
      <c r="G35" s="64"/>
      <c r="H35" s="85"/>
      <c r="I35" s="67"/>
      <c r="J35" s="71"/>
      <c r="K35" s="84">
        <f t="shared" si="1"/>
        <v>0</v>
      </c>
      <c r="L35" s="67">
        <f t="shared" si="2"/>
        <v>0</v>
      </c>
    </row>
    <row r="36" spans="1:12" hidden="1" outlineLevel="1" x14ac:dyDescent="0.35">
      <c r="A36" s="93" t="s">
        <v>57</v>
      </c>
      <c r="B36" s="182" t="s">
        <v>58</v>
      </c>
      <c r="C36" s="26" t="s">
        <v>886</v>
      </c>
      <c r="D36" s="84"/>
      <c r="E36" s="63"/>
      <c r="F36" s="83"/>
      <c r="G36" s="64"/>
      <c r="H36" s="85"/>
      <c r="I36" s="67"/>
      <c r="J36" s="71"/>
      <c r="K36" s="84">
        <f t="shared" si="1"/>
        <v>0</v>
      </c>
      <c r="L36" s="67">
        <f t="shared" si="2"/>
        <v>0</v>
      </c>
    </row>
    <row r="37" spans="1:12" hidden="1" outlineLevel="1" x14ac:dyDescent="0.35">
      <c r="A37" s="93" t="s">
        <v>59</v>
      </c>
      <c r="B37" s="182" t="s">
        <v>60</v>
      </c>
      <c r="C37" s="26" t="s">
        <v>886</v>
      </c>
      <c r="D37" s="84"/>
      <c r="E37" s="63"/>
      <c r="F37" s="83"/>
      <c r="G37" s="64"/>
      <c r="H37" s="85"/>
      <c r="I37" s="67"/>
      <c r="J37" s="71"/>
      <c r="K37" s="84">
        <f t="shared" si="1"/>
        <v>0</v>
      </c>
      <c r="L37" s="67">
        <f t="shared" si="2"/>
        <v>0</v>
      </c>
    </row>
    <row r="38" spans="1:12" hidden="1" outlineLevel="1" x14ac:dyDescent="0.35">
      <c r="A38" s="93" t="s">
        <v>61</v>
      </c>
      <c r="B38" s="182" t="s">
        <v>62</v>
      </c>
      <c r="C38" s="26" t="s">
        <v>886</v>
      </c>
      <c r="D38" s="84"/>
      <c r="E38" s="63"/>
      <c r="F38" s="83"/>
      <c r="G38" s="64"/>
      <c r="H38" s="85"/>
      <c r="I38" s="67"/>
      <c r="J38" s="71"/>
      <c r="K38" s="84">
        <f t="shared" si="1"/>
        <v>0</v>
      </c>
      <c r="L38" s="67">
        <f t="shared" si="2"/>
        <v>0</v>
      </c>
    </row>
    <row r="39" spans="1:12" collapsed="1" x14ac:dyDescent="0.35">
      <c r="A39" s="93" t="s">
        <v>63</v>
      </c>
      <c r="B39" s="182" t="s">
        <v>64</v>
      </c>
      <c r="C39" s="26" t="s">
        <v>64</v>
      </c>
      <c r="D39" s="84"/>
      <c r="E39" s="63"/>
      <c r="F39" s="83"/>
      <c r="G39" s="64"/>
      <c r="H39" s="85"/>
      <c r="I39" s="67"/>
      <c r="J39" s="71"/>
      <c r="K39" s="84">
        <f t="shared" si="1"/>
        <v>0</v>
      </c>
      <c r="L39" s="67">
        <f t="shared" si="2"/>
        <v>0</v>
      </c>
    </row>
    <row r="40" spans="1:12" x14ac:dyDescent="0.35">
      <c r="A40" s="93" t="s">
        <v>65</v>
      </c>
      <c r="B40" s="182" t="s">
        <v>66</v>
      </c>
      <c r="C40" s="26" t="s">
        <v>66</v>
      </c>
      <c r="D40" s="84"/>
      <c r="E40" s="63"/>
      <c r="F40" s="83"/>
      <c r="G40" s="64"/>
      <c r="H40" s="85"/>
      <c r="I40" s="67"/>
      <c r="J40" s="71"/>
      <c r="K40" s="84">
        <f t="shared" si="1"/>
        <v>0</v>
      </c>
      <c r="L40" s="67">
        <f t="shared" si="2"/>
        <v>0</v>
      </c>
    </row>
    <row r="41" spans="1:12" x14ac:dyDescent="0.35">
      <c r="A41" s="93" t="s">
        <v>67</v>
      </c>
      <c r="B41" s="182" t="s">
        <v>68</v>
      </c>
      <c r="C41" s="26" t="s">
        <v>68</v>
      </c>
      <c r="D41" s="84"/>
      <c r="E41" s="63"/>
      <c r="F41" s="83"/>
      <c r="G41" s="64"/>
      <c r="H41" s="85"/>
      <c r="I41" s="67"/>
      <c r="J41" s="71"/>
      <c r="K41" s="84">
        <f t="shared" si="1"/>
        <v>0</v>
      </c>
      <c r="L41" s="67">
        <f t="shared" si="2"/>
        <v>0</v>
      </c>
    </row>
    <row r="42" spans="1:12" x14ac:dyDescent="0.35">
      <c r="A42" s="93" t="s">
        <v>69</v>
      </c>
      <c r="B42" s="182" t="s">
        <v>70</v>
      </c>
      <c r="C42" s="26" t="s">
        <v>887</v>
      </c>
      <c r="D42" s="84"/>
      <c r="E42" s="63"/>
      <c r="F42" s="83"/>
      <c r="G42" s="64"/>
      <c r="H42" s="85"/>
      <c r="I42" s="67"/>
      <c r="J42" s="71"/>
      <c r="K42" s="84">
        <f t="shared" si="1"/>
        <v>0</v>
      </c>
      <c r="L42" s="67">
        <f t="shared" si="2"/>
        <v>0</v>
      </c>
    </row>
    <row r="43" spans="1:12" x14ac:dyDescent="0.35">
      <c r="A43" s="93" t="s">
        <v>71</v>
      </c>
      <c r="B43" s="182" t="s">
        <v>72</v>
      </c>
      <c r="C43" s="26" t="s">
        <v>72</v>
      </c>
      <c r="D43" s="84"/>
      <c r="E43" s="63"/>
      <c r="F43" s="83"/>
      <c r="G43" s="64"/>
      <c r="H43" s="85"/>
      <c r="I43" s="67"/>
      <c r="J43" s="71"/>
      <c r="K43" s="84">
        <f t="shared" si="1"/>
        <v>0</v>
      </c>
      <c r="L43" s="67">
        <f t="shared" si="2"/>
        <v>0</v>
      </c>
    </row>
    <row r="44" spans="1:12" collapsed="1" x14ac:dyDescent="0.35">
      <c r="A44" s="93"/>
      <c r="B44" s="182" t="s">
        <v>888</v>
      </c>
      <c r="C44" s="26"/>
      <c r="D44" s="84">
        <f>SUM(D45:D46)</f>
        <v>0</v>
      </c>
      <c r="E44" s="64">
        <f t="shared" ref="E44:H44" si="9">SUM(E45:E46)</f>
        <v>0</v>
      </c>
      <c r="F44" s="84">
        <f t="shared" si="9"/>
        <v>0</v>
      </c>
      <c r="G44" s="64">
        <f t="shared" si="9"/>
        <v>0</v>
      </c>
      <c r="H44" s="84">
        <f t="shared" si="9"/>
        <v>0</v>
      </c>
      <c r="I44" s="84">
        <f t="shared" ref="I44" si="10">SUM(I45:I46)</f>
        <v>0</v>
      </c>
      <c r="J44" s="71"/>
      <c r="K44" s="84">
        <f t="shared" si="1"/>
        <v>0</v>
      </c>
      <c r="L44" s="67">
        <f t="shared" si="2"/>
        <v>0</v>
      </c>
    </row>
    <row r="45" spans="1:12" hidden="1" outlineLevel="1" x14ac:dyDescent="0.35">
      <c r="A45" s="93" t="s">
        <v>73</v>
      </c>
      <c r="B45" s="184" t="s">
        <v>74</v>
      </c>
      <c r="C45" s="26" t="s">
        <v>888</v>
      </c>
      <c r="D45" s="84"/>
      <c r="E45" s="63"/>
      <c r="F45" s="83"/>
      <c r="G45" s="64"/>
      <c r="H45" s="85"/>
      <c r="I45" s="85"/>
      <c r="J45" s="71"/>
      <c r="K45" s="84">
        <f t="shared" si="1"/>
        <v>0</v>
      </c>
      <c r="L45" s="67">
        <f t="shared" si="2"/>
        <v>0</v>
      </c>
    </row>
    <row r="46" spans="1:12" hidden="1" outlineLevel="1" x14ac:dyDescent="0.35">
      <c r="A46" s="93" t="s">
        <v>75</v>
      </c>
      <c r="B46" s="184" t="s">
        <v>76</v>
      </c>
      <c r="C46" s="26" t="s">
        <v>888</v>
      </c>
      <c r="D46" s="84"/>
      <c r="E46" s="63"/>
      <c r="F46" s="83"/>
      <c r="G46" s="64"/>
      <c r="H46" s="85"/>
      <c r="I46" s="85"/>
      <c r="J46" s="71"/>
      <c r="K46" s="84">
        <f t="shared" si="1"/>
        <v>0</v>
      </c>
      <c r="L46" s="67">
        <f t="shared" si="2"/>
        <v>0</v>
      </c>
    </row>
    <row r="47" spans="1:12" collapsed="1" x14ac:dyDescent="0.35">
      <c r="A47" s="93"/>
      <c r="B47" s="182" t="s">
        <v>889</v>
      </c>
      <c r="C47" s="26"/>
      <c r="D47" s="84">
        <f>SUM(D48:D51)</f>
        <v>0</v>
      </c>
      <c r="E47" s="64">
        <f t="shared" ref="E47:G47" si="11">SUM(E48:E51)</f>
        <v>0</v>
      </c>
      <c r="F47" s="84">
        <f t="shared" si="11"/>
        <v>0</v>
      </c>
      <c r="G47" s="64">
        <f t="shared" si="11"/>
        <v>0</v>
      </c>
      <c r="H47" s="84">
        <f>SUM(H48:H51)</f>
        <v>0</v>
      </c>
      <c r="I47" s="84">
        <f t="shared" ref="I47" si="12">SUM(I48:I51)</f>
        <v>0</v>
      </c>
      <c r="J47" s="71"/>
      <c r="K47" s="84">
        <f t="shared" si="1"/>
        <v>0</v>
      </c>
      <c r="L47" s="67">
        <f t="shared" si="2"/>
        <v>0</v>
      </c>
    </row>
    <row r="48" spans="1:12" hidden="1" outlineLevel="1" x14ac:dyDescent="0.35">
      <c r="A48" s="93" t="s">
        <v>77</v>
      </c>
      <c r="B48" s="182" t="s">
        <v>78</v>
      </c>
      <c r="C48" s="26" t="s">
        <v>889</v>
      </c>
      <c r="D48" s="84"/>
      <c r="E48" s="63"/>
      <c r="F48" s="83"/>
      <c r="G48" s="64"/>
      <c r="H48" s="85"/>
      <c r="I48" s="85"/>
      <c r="J48" s="71"/>
      <c r="K48" s="84">
        <f t="shared" si="1"/>
        <v>0</v>
      </c>
      <c r="L48" s="67">
        <f t="shared" si="2"/>
        <v>0</v>
      </c>
    </row>
    <row r="49" spans="1:12" hidden="1" outlineLevel="1" x14ac:dyDescent="0.35">
      <c r="A49" s="93" t="s">
        <v>79</v>
      </c>
      <c r="B49" s="182" t="s">
        <v>80</v>
      </c>
      <c r="C49" s="26" t="s">
        <v>889</v>
      </c>
      <c r="D49" s="84"/>
      <c r="E49" s="63"/>
      <c r="F49" s="83"/>
      <c r="G49" s="64"/>
      <c r="H49" s="85"/>
      <c r="I49" s="85"/>
      <c r="J49" s="71"/>
      <c r="K49" s="84">
        <f t="shared" si="1"/>
        <v>0</v>
      </c>
      <c r="L49" s="67">
        <f t="shared" si="2"/>
        <v>0</v>
      </c>
    </row>
    <row r="50" spans="1:12" hidden="1" outlineLevel="1" x14ac:dyDescent="0.35">
      <c r="A50" s="93" t="s">
        <v>81</v>
      </c>
      <c r="B50" s="184" t="s">
        <v>82</v>
      </c>
      <c r="C50" s="26" t="s">
        <v>889</v>
      </c>
      <c r="D50" s="84"/>
      <c r="E50" s="63"/>
      <c r="F50" s="83"/>
      <c r="G50" s="64"/>
      <c r="H50" s="85"/>
      <c r="I50" s="85"/>
      <c r="J50" s="71"/>
      <c r="K50" s="84">
        <f t="shared" si="1"/>
        <v>0</v>
      </c>
      <c r="L50" s="67">
        <f t="shared" si="2"/>
        <v>0</v>
      </c>
    </row>
    <row r="51" spans="1:12" hidden="1" outlineLevel="1" x14ac:dyDescent="0.35">
      <c r="A51" s="98" t="s">
        <v>83</v>
      </c>
      <c r="B51" s="185" t="s">
        <v>84</v>
      </c>
      <c r="C51" s="26" t="s">
        <v>889</v>
      </c>
      <c r="D51" s="84"/>
      <c r="E51" s="63"/>
      <c r="F51" s="83"/>
      <c r="G51" s="64"/>
      <c r="H51" s="85"/>
      <c r="I51" s="85"/>
      <c r="J51" s="71"/>
      <c r="K51" s="84">
        <f t="shared" si="1"/>
        <v>0</v>
      </c>
      <c r="L51" s="67">
        <f t="shared" si="2"/>
        <v>0</v>
      </c>
    </row>
    <row r="52" spans="1:12" collapsed="1" x14ac:dyDescent="0.35">
      <c r="A52" s="98"/>
      <c r="B52" s="182" t="s">
        <v>890</v>
      </c>
      <c r="C52" s="26"/>
      <c r="D52" s="84">
        <f>SUM(D53:D58)</f>
        <v>0</v>
      </c>
      <c r="E52" s="64">
        <f t="shared" ref="E52:G52" si="13">SUM(E53:E58)</f>
        <v>0</v>
      </c>
      <c r="F52" s="84">
        <f t="shared" si="13"/>
        <v>136033</v>
      </c>
      <c r="G52" s="64">
        <f t="shared" si="13"/>
        <v>57226</v>
      </c>
      <c r="H52" s="84">
        <f>SUM(H53:H58)</f>
        <v>1000</v>
      </c>
      <c r="I52" s="84">
        <f t="shared" ref="I52" si="14">SUM(I53:I58)</f>
        <v>0</v>
      </c>
      <c r="J52" s="71"/>
      <c r="K52" s="84">
        <f t="shared" si="1"/>
        <v>0</v>
      </c>
      <c r="L52" s="67">
        <f t="shared" si="2"/>
        <v>194259</v>
      </c>
    </row>
    <row r="53" spans="1:12" hidden="1" outlineLevel="1" x14ac:dyDescent="0.35">
      <c r="A53" s="93" t="s">
        <v>85</v>
      </c>
      <c r="B53" s="182" t="s">
        <v>86</v>
      </c>
      <c r="C53" s="26" t="s">
        <v>890</v>
      </c>
      <c r="D53" s="84"/>
      <c r="E53" s="63"/>
      <c r="F53" s="83"/>
      <c r="G53" s="64"/>
      <c r="H53" s="85"/>
      <c r="I53" s="85"/>
      <c r="J53" s="71"/>
      <c r="K53" s="84">
        <f t="shared" si="1"/>
        <v>0</v>
      </c>
      <c r="L53" s="67">
        <f t="shared" si="2"/>
        <v>0</v>
      </c>
    </row>
    <row r="54" spans="1:12" hidden="1" outlineLevel="1" x14ac:dyDescent="0.35">
      <c r="A54" s="93" t="s">
        <v>87</v>
      </c>
      <c r="B54" s="182" t="s">
        <v>88</v>
      </c>
      <c r="C54" s="26" t="s">
        <v>890</v>
      </c>
      <c r="D54" s="84"/>
      <c r="E54" s="63"/>
      <c r="F54" s="83"/>
      <c r="G54" s="64"/>
      <c r="H54" s="85"/>
      <c r="I54" s="85"/>
      <c r="J54" s="71"/>
      <c r="K54" s="84">
        <f t="shared" si="1"/>
        <v>0</v>
      </c>
      <c r="L54" s="67">
        <f t="shared" si="2"/>
        <v>0</v>
      </c>
    </row>
    <row r="55" spans="1:12" hidden="1" outlineLevel="1" x14ac:dyDescent="0.35">
      <c r="A55" s="93" t="s">
        <v>89</v>
      </c>
      <c r="B55" s="182" t="s">
        <v>90</v>
      </c>
      <c r="C55" s="26" t="s">
        <v>890</v>
      </c>
      <c r="D55" s="84"/>
      <c r="E55" s="63"/>
      <c r="F55" s="83"/>
      <c r="G55" s="64"/>
      <c r="H55" s="85"/>
      <c r="I55" s="85"/>
      <c r="J55" s="71"/>
      <c r="K55" s="84">
        <f t="shared" si="1"/>
        <v>0</v>
      </c>
      <c r="L55" s="67">
        <f t="shared" si="2"/>
        <v>0</v>
      </c>
    </row>
    <row r="56" spans="1:12" hidden="1" outlineLevel="1" x14ac:dyDescent="0.35">
      <c r="A56" s="93" t="s">
        <v>91</v>
      </c>
      <c r="B56" s="182" t="s">
        <v>92</v>
      </c>
      <c r="C56" s="26" t="s">
        <v>890</v>
      </c>
      <c r="D56" s="84"/>
      <c r="E56" s="63"/>
      <c r="F56" s="83">
        <v>136033</v>
      </c>
      <c r="G56" s="64">
        <v>101484</v>
      </c>
      <c r="H56" s="85">
        <v>1000</v>
      </c>
      <c r="I56" s="85"/>
      <c r="J56" s="71"/>
      <c r="K56" s="84">
        <f t="shared" si="1"/>
        <v>0</v>
      </c>
      <c r="L56" s="67">
        <f t="shared" si="2"/>
        <v>238517</v>
      </c>
    </row>
    <row r="57" spans="1:12" hidden="1" outlineLevel="1" x14ac:dyDescent="0.35">
      <c r="A57" s="93" t="s">
        <v>93</v>
      </c>
      <c r="B57" s="182" t="s">
        <v>94</v>
      </c>
      <c r="C57" s="26" t="s">
        <v>890</v>
      </c>
      <c r="D57" s="84"/>
      <c r="E57" s="63"/>
      <c r="F57" s="83"/>
      <c r="G57" s="64">
        <v>-44258</v>
      </c>
      <c r="H57" s="85"/>
      <c r="I57" s="85"/>
      <c r="J57" s="71"/>
      <c r="K57" s="84">
        <f t="shared" si="1"/>
        <v>0</v>
      </c>
      <c r="L57" s="67">
        <f t="shared" si="2"/>
        <v>-44258</v>
      </c>
    </row>
    <row r="58" spans="1:12" hidden="1" outlineLevel="1" x14ac:dyDescent="0.35">
      <c r="A58" s="93" t="s">
        <v>95</v>
      </c>
      <c r="B58" s="182" t="s">
        <v>96</v>
      </c>
      <c r="C58" s="26" t="s">
        <v>890</v>
      </c>
      <c r="D58" s="84"/>
      <c r="E58" s="63"/>
      <c r="F58" s="83"/>
      <c r="G58" s="64"/>
      <c r="H58" s="85"/>
      <c r="I58" s="85"/>
      <c r="J58" s="71"/>
      <c r="K58" s="84">
        <f t="shared" si="1"/>
        <v>0</v>
      </c>
      <c r="L58" s="67">
        <f t="shared" si="2"/>
        <v>0</v>
      </c>
    </row>
    <row r="59" spans="1:12" collapsed="1" x14ac:dyDescent="0.35">
      <c r="A59" s="96"/>
      <c r="B59" s="182" t="s">
        <v>98</v>
      </c>
      <c r="C59" s="95"/>
      <c r="D59" s="85">
        <f>SUM(D60:D64)</f>
        <v>0</v>
      </c>
      <c r="E59" s="65">
        <f t="shared" ref="E59:H59" si="15">SUM(E60:E64)</f>
        <v>30340</v>
      </c>
      <c r="F59" s="85">
        <f t="shared" si="15"/>
        <v>254540</v>
      </c>
      <c r="G59" s="65">
        <f t="shared" si="15"/>
        <v>65115</v>
      </c>
      <c r="H59" s="85">
        <f t="shared" si="15"/>
        <v>0</v>
      </c>
      <c r="I59" s="85">
        <f t="shared" ref="I59" si="16">SUM(I60:I64)</f>
        <v>313394</v>
      </c>
      <c r="J59" s="71"/>
      <c r="K59" s="84">
        <f>J59+I59</f>
        <v>313394</v>
      </c>
      <c r="L59" s="67">
        <f t="shared" si="2"/>
        <v>663389</v>
      </c>
    </row>
    <row r="60" spans="1:12" hidden="1" outlineLevel="1" x14ac:dyDescent="0.35">
      <c r="A60" s="93" t="s">
        <v>97</v>
      </c>
      <c r="B60" s="182" t="s">
        <v>98</v>
      </c>
      <c r="C60" s="26" t="s">
        <v>98</v>
      </c>
      <c r="D60" s="84"/>
      <c r="E60" s="63">
        <v>30340</v>
      </c>
      <c r="F60" s="83">
        <f>92643+161897</f>
        <v>254540</v>
      </c>
      <c r="G60" s="64">
        <v>65115</v>
      </c>
      <c r="H60" s="85"/>
      <c r="I60" s="85">
        <v>-600</v>
      </c>
      <c r="J60" s="71"/>
      <c r="K60" s="84">
        <f t="shared" si="1"/>
        <v>-600</v>
      </c>
      <c r="L60" s="67">
        <f t="shared" si="2"/>
        <v>349395</v>
      </c>
    </row>
    <row r="61" spans="1:12" hidden="1" outlineLevel="1" x14ac:dyDescent="0.35">
      <c r="A61" s="93" t="s">
        <v>105</v>
      </c>
      <c r="B61" s="182" t="s">
        <v>106</v>
      </c>
      <c r="C61" s="26" t="s">
        <v>98</v>
      </c>
      <c r="D61" s="84"/>
      <c r="E61" s="63"/>
      <c r="F61" s="83"/>
      <c r="G61" s="64"/>
      <c r="H61" s="85"/>
      <c r="I61" s="85"/>
      <c r="J61" s="71"/>
      <c r="K61" s="84">
        <f t="shared" si="1"/>
        <v>0</v>
      </c>
      <c r="L61" s="67">
        <f t="shared" si="2"/>
        <v>0</v>
      </c>
    </row>
    <row r="62" spans="1:12" hidden="1" outlineLevel="1" x14ac:dyDescent="0.35">
      <c r="A62" s="93" t="s">
        <v>112</v>
      </c>
      <c r="B62" s="182" t="s">
        <v>113</v>
      </c>
      <c r="C62" s="26" t="s">
        <v>98</v>
      </c>
      <c r="D62" s="84"/>
      <c r="E62" s="63"/>
      <c r="F62" s="83"/>
      <c r="G62" s="64"/>
      <c r="H62" s="85"/>
      <c r="I62" s="85">
        <v>313994</v>
      </c>
      <c r="J62" s="71"/>
      <c r="K62" s="84">
        <f t="shared" si="1"/>
        <v>313994</v>
      </c>
      <c r="L62" s="67">
        <f t="shared" si="2"/>
        <v>313994</v>
      </c>
    </row>
    <row r="63" spans="1:12" hidden="1" outlineLevel="1" x14ac:dyDescent="0.35">
      <c r="A63" s="93" t="s">
        <v>147</v>
      </c>
      <c r="B63" s="182" t="s">
        <v>148</v>
      </c>
      <c r="C63" s="26" t="s">
        <v>98</v>
      </c>
      <c r="D63" s="83"/>
      <c r="E63" s="63"/>
      <c r="F63" s="83"/>
      <c r="G63" s="64"/>
      <c r="H63" s="85"/>
      <c r="I63" s="85"/>
      <c r="J63" s="71"/>
      <c r="K63" s="84">
        <f t="shared" si="1"/>
        <v>0</v>
      </c>
      <c r="L63" s="67">
        <f t="shared" si="2"/>
        <v>0</v>
      </c>
    </row>
    <row r="64" spans="1:12" hidden="1" outlineLevel="1" x14ac:dyDescent="0.35">
      <c r="A64" s="93" t="s">
        <v>149</v>
      </c>
      <c r="B64" s="182" t="s">
        <v>150</v>
      </c>
      <c r="C64" s="26" t="s">
        <v>98</v>
      </c>
      <c r="D64" s="83"/>
      <c r="E64" s="63"/>
      <c r="F64" s="83"/>
      <c r="G64" s="64"/>
      <c r="H64" s="85"/>
      <c r="I64" s="85"/>
      <c r="J64" s="71"/>
      <c r="K64" s="84">
        <f t="shared" si="1"/>
        <v>0</v>
      </c>
      <c r="L64" s="67">
        <f t="shared" si="2"/>
        <v>0</v>
      </c>
    </row>
    <row r="65" spans="1:12" collapsed="1" x14ac:dyDescent="0.35">
      <c r="A65" s="93"/>
      <c r="B65" s="182" t="s">
        <v>889</v>
      </c>
      <c r="C65" s="26"/>
      <c r="D65" s="84">
        <f>SUM(D66:D96)</f>
        <v>0</v>
      </c>
      <c r="E65" s="64">
        <f t="shared" ref="E65:H65" si="17">SUM(E66:E96)</f>
        <v>6000</v>
      </c>
      <c r="F65" s="84">
        <f t="shared" si="17"/>
        <v>0</v>
      </c>
      <c r="G65" s="64">
        <f t="shared" si="17"/>
        <v>43959</v>
      </c>
      <c r="H65" s="84">
        <f t="shared" si="17"/>
        <v>20753</v>
      </c>
      <c r="I65" s="84">
        <f t="shared" ref="I65" si="18">SUM(I66:I96)</f>
        <v>12300</v>
      </c>
      <c r="J65" s="71"/>
      <c r="K65" s="84">
        <f t="shared" si="1"/>
        <v>12300</v>
      </c>
      <c r="L65" s="67">
        <f t="shared" si="2"/>
        <v>83012</v>
      </c>
    </row>
    <row r="66" spans="1:12" hidden="1" outlineLevel="1" x14ac:dyDescent="0.35">
      <c r="A66" s="93" t="s">
        <v>99</v>
      </c>
      <c r="B66" s="182" t="s">
        <v>100</v>
      </c>
      <c r="C66" s="26" t="s">
        <v>889</v>
      </c>
      <c r="D66" s="84"/>
      <c r="E66" s="63"/>
      <c r="F66" s="83"/>
      <c r="G66" s="64">
        <v>120000</v>
      </c>
      <c r="H66" s="85"/>
      <c r="I66" s="85"/>
      <c r="J66" s="71"/>
      <c r="K66" s="84">
        <f t="shared" si="1"/>
        <v>0</v>
      </c>
      <c r="L66" s="67">
        <f t="shared" si="2"/>
        <v>120000</v>
      </c>
    </row>
    <row r="67" spans="1:12" hidden="1" outlineLevel="1" x14ac:dyDescent="0.35">
      <c r="A67" s="93" t="s">
        <v>101</v>
      </c>
      <c r="B67" s="186" t="s">
        <v>102</v>
      </c>
      <c r="C67" s="26" t="s">
        <v>889</v>
      </c>
      <c r="D67" s="84"/>
      <c r="E67" s="63"/>
      <c r="F67" s="83"/>
      <c r="G67" s="64">
        <v>3910</v>
      </c>
      <c r="H67" s="85"/>
      <c r="I67" s="85"/>
      <c r="J67" s="71"/>
      <c r="K67" s="84">
        <f t="shared" si="1"/>
        <v>0</v>
      </c>
      <c r="L67" s="67">
        <f t="shared" si="2"/>
        <v>3910</v>
      </c>
    </row>
    <row r="68" spans="1:12" hidden="1" outlineLevel="1" x14ac:dyDescent="0.35">
      <c r="A68" s="93" t="s">
        <v>103</v>
      </c>
      <c r="B68" s="182" t="s">
        <v>104</v>
      </c>
      <c r="C68" s="26" t="s">
        <v>889</v>
      </c>
      <c r="D68" s="84"/>
      <c r="E68" s="63"/>
      <c r="F68" s="83"/>
      <c r="G68" s="64"/>
      <c r="H68" s="85"/>
      <c r="I68" s="85"/>
      <c r="J68" s="71"/>
      <c r="K68" s="84">
        <f t="shared" si="1"/>
        <v>0</v>
      </c>
      <c r="L68" s="67">
        <f t="shared" si="2"/>
        <v>0</v>
      </c>
    </row>
    <row r="69" spans="1:12" hidden="1" outlineLevel="1" x14ac:dyDescent="0.35">
      <c r="A69" s="93" t="s">
        <v>107</v>
      </c>
      <c r="B69" s="182" t="s">
        <v>108</v>
      </c>
      <c r="C69" s="26" t="s">
        <v>889</v>
      </c>
      <c r="D69" s="84"/>
      <c r="E69" s="63"/>
      <c r="F69" s="83"/>
      <c r="G69" s="64">
        <v>-120000</v>
      </c>
      <c r="H69" s="85"/>
      <c r="I69" s="85"/>
      <c r="J69" s="71"/>
      <c r="K69" s="84">
        <f t="shared" si="1"/>
        <v>0</v>
      </c>
      <c r="L69" s="67">
        <f t="shared" si="2"/>
        <v>-120000</v>
      </c>
    </row>
    <row r="70" spans="1:12" hidden="1" outlineLevel="1" x14ac:dyDescent="0.35">
      <c r="A70" s="93" t="s">
        <v>109</v>
      </c>
      <c r="B70" s="182" t="s">
        <v>110</v>
      </c>
      <c r="C70" s="26" t="s">
        <v>889</v>
      </c>
      <c r="D70" s="84"/>
      <c r="E70" s="63"/>
      <c r="F70" s="83"/>
      <c r="G70" s="64"/>
      <c r="H70" s="85"/>
      <c r="I70" s="85"/>
      <c r="J70" s="71"/>
      <c r="K70" s="84">
        <f t="shared" ref="K70:K133" si="19">J70+I70</f>
        <v>0</v>
      </c>
      <c r="L70" s="67">
        <f t="shared" ref="L70:L133" si="20">K70+D70+E70+F70+G70+H70</f>
        <v>0</v>
      </c>
    </row>
    <row r="71" spans="1:12" hidden="1" outlineLevel="1" x14ac:dyDescent="0.35">
      <c r="A71" s="93" t="s">
        <v>111</v>
      </c>
      <c r="B71" s="182" t="s">
        <v>110</v>
      </c>
      <c r="C71" s="26" t="s">
        <v>889</v>
      </c>
      <c r="D71" s="84"/>
      <c r="E71" s="63"/>
      <c r="F71" s="83"/>
      <c r="G71" s="64"/>
      <c r="H71" s="85"/>
      <c r="I71" s="85"/>
      <c r="J71" s="71"/>
      <c r="K71" s="84">
        <f t="shared" si="19"/>
        <v>0</v>
      </c>
      <c r="L71" s="67">
        <f t="shared" si="20"/>
        <v>0</v>
      </c>
    </row>
    <row r="72" spans="1:12" hidden="1" outlineLevel="1" x14ac:dyDescent="0.35">
      <c r="A72" s="93" t="s">
        <v>114</v>
      </c>
      <c r="B72" s="182" t="s">
        <v>115</v>
      </c>
      <c r="C72" s="26" t="s">
        <v>889</v>
      </c>
      <c r="D72" s="84"/>
      <c r="E72" s="63"/>
      <c r="F72" s="83"/>
      <c r="G72" s="64"/>
      <c r="H72" s="85"/>
      <c r="I72" s="85"/>
      <c r="J72" s="71"/>
      <c r="K72" s="84">
        <f t="shared" si="19"/>
        <v>0</v>
      </c>
      <c r="L72" s="67">
        <f t="shared" si="20"/>
        <v>0</v>
      </c>
    </row>
    <row r="73" spans="1:12" hidden="1" outlineLevel="1" x14ac:dyDescent="0.35">
      <c r="A73" s="93" t="s">
        <v>116</v>
      </c>
      <c r="B73" s="182" t="s">
        <v>117</v>
      </c>
      <c r="C73" s="26" t="s">
        <v>889</v>
      </c>
      <c r="D73" s="83"/>
      <c r="E73" s="63"/>
      <c r="F73" s="83"/>
      <c r="G73" s="64"/>
      <c r="H73" s="85"/>
      <c r="I73" s="85"/>
      <c r="J73" s="71"/>
      <c r="K73" s="84">
        <f t="shared" si="19"/>
        <v>0</v>
      </c>
      <c r="L73" s="67">
        <f t="shared" si="20"/>
        <v>0</v>
      </c>
    </row>
    <row r="74" spans="1:12" hidden="1" outlineLevel="1" x14ac:dyDescent="0.35">
      <c r="A74" s="93" t="s">
        <v>118</v>
      </c>
      <c r="B74" s="182" t="s">
        <v>119</v>
      </c>
      <c r="C74" s="26" t="s">
        <v>889</v>
      </c>
      <c r="D74" s="83"/>
      <c r="E74" s="63"/>
      <c r="F74" s="83"/>
      <c r="G74" s="64"/>
      <c r="H74" s="85"/>
      <c r="I74" s="85"/>
      <c r="J74" s="71"/>
      <c r="K74" s="84">
        <f t="shared" si="19"/>
        <v>0</v>
      </c>
      <c r="L74" s="67">
        <f t="shared" si="20"/>
        <v>0</v>
      </c>
    </row>
    <row r="75" spans="1:12" hidden="1" outlineLevel="1" x14ac:dyDescent="0.35">
      <c r="A75" s="93" t="s">
        <v>120</v>
      </c>
      <c r="B75" s="182" t="s">
        <v>121</v>
      </c>
      <c r="C75" s="26" t="s">
        <v>889</v>
      </c>
      <c r="D75" s="83"/>
      <c r="E75" s="63"/>
      <c r="F75" s="83"/>
      <c r="G75" s="64"/>
      <c r="H75" s="85"/>
      <c r="I75" s="85"/>
      <c r="J75" s="71"/>
      <c r="K75" s="84">
        <f t="shared" si="19"/>
        <v>0</v>
      </c>
      <c r="L75" s="67">
        <f t="shared" si="20"/>
        <v>0</v>
      </c>
    </row>
    <row r="76" spans="1:12" hidden="1" outlineLevel="1" x14ac:dyDescent="0.35">
      <c r="A76" s="93" t="s">
        <v>122</v>
      </c>
      <c r="B76" s="182" t="s">
        <v>123</v>
      </c>
      <c r="C76" s="26" t="s">
        <v>889</v>
      </c>
      <c r="D76" s="83"/>
      <c r="E76" s="63"/>
      <c r="F76" s="83"/>
      <c r="G76" s="64"/>
      <c r="H76" s="85"/>
      <c r="I76" s="85"/>
      <c r="J76" s="71"/>
      <c r="K76" s="84">
        <f t="shared" si="19"/>
        <v>0</v>
      </c>
      <c r="L76" s="67">
        <f t="shared" si="20"/>
        <v>0</v>
      </c>
    </row>
    <row r="77" spans="1:12" hidden="1" outlineLevel="1" x14ac:dyDescent="0.35">
      <c r="A77" s="93" t="s">
        <v>124</v>
      </c>
      <c r="B77" s="182" t="s">
        <v>125</v>
      </c>
      <c r="C77" s="26" t="s">
        <v>889</v>
      </c>
      <c r="D77" s="83"/>
      <c r="E77" s="63"/>
      <c r="F77" s="83"/>
      <c r="G77" s="64"/>
      <c r="H77" s="85"/>
      <c r="I77" s="85"/>
      <c r="J77" s="71"/>
      <c r="K77" s="84">
        <f t="shared" si="19"/>
        <v>0</v>
      </c>
      <c r="L77" s="67">
        <f t="shared" si="20"/>
        <v>0</v>
      </c>
    </row>
    <row r="78" spans="1:12" hidden="1" outlineLevel="1" x14ac:dyDescent="0.35">
      <c r="A78" s="93" t="s">
        <v>126</v>
      </c>
      <c r="B78" s="182" t="s">
        <v>127</v>
      </c>
      <c r="C78" s="26" t="s">
        <v>889</v>
      </c>
      <c r="D78" s="83"/>
      <c r="E78" s="63"/>
      <c r="F78" s="83"/>
      <c r="G78" s="64"/>
      <c r="H78" s="85"/>
      <c r="I78" s="85"/>
      <c r="J78" s="71"/>
      <c r="K78" s="84">
        <f t="shared" si="19"/>
        <v>0</v>
      </c>
      <c r="L78" s="67">
        <f t="shared" si="20"/>
        <v>0</v>
      </c>
    </row>
    <row r="79" spans="1:12" hidden="1" outlineLevel="1" x14ac:dyDescent="0.35">
      <c r="A79" s="93" t="s">
        <v>128</v>
      </c>
      <c r="B79" s="182" t="s">
        <v>129</v>
      </c>
      <c r="C79" s="26" t="s">
        <v>889</v>
      </c>
      <c r="D79" s="83"/>
      <c r="E79" s="63"/>
      <c r="F79" s="83"/>
      <c r="G79" s="64"/>
      <c r="H79" s="85"/>
      <c r="I79" s="85"/>
      <c r="J79" s="71"/>
      <c r="K79" s="84">
        <f t="shared" si="19"/>
        <v>0</v>
      </c>
      <c r="L79" s="67">
        <f t="shared" si="20"/>
        <v>0</v>
      </c>
    </row>
    <row r="80" spans="1:12" hidden="1" outlineLevel="1" x14ac:dyDescent="0.35">
      <c r="A80" s="93" t="s">
        <v>130</v>
      </c>
      <c r="B80" s="182" t="s">
        <v>131</v>
      </c>
      <c r="C80" s="26" t="s">
        <v>889</v>
      </c>
      <c r="D80" s="83"/>
      <c r="E80" s="63"/>
      <c r="F80" s="83"/>
      <c r="G80" s="64"/>
      <c r="H80" s="85"/>
      <c r="I80" s="85"/>
      <c r="J80" s="71"/>
      <c r="K80" s="84">
        <f t="shared" si="19"/>
        <v>0</v>
      </c>
      <c r="L80" s="67">
        <f t="shared" si="20"/>
        <v>0</v>
      </c>
    </row>
    <row r="81" spans="1:12" hidden="1" outlineLevel="1" x14ac:dyDescent="0.35">
      <c r="A81" s="93" t="s">
        <v>132</v>
      </c>
      <c r="B81" s="182" t="s">
        <v>133</v>
      </c>
      <c r="C81" s="26" t="s">
        <v>889</v>
      </c>
      <c r="D81" s="83"/>
      <c r="E81" s="63"/>
      <c r="F81" s="83"/>
      <c r="G81" s="64"/>
      <c r="H81" s="85"/>
      <c r="I81" s="85"/>
      <c r="J81" s="71"/>
      <c r="K81" s="84">
        <f t="shared" si="19"/>
        <v>0</v>
      </c>
      <c r="L81" s="67">
        <f t="shared" si="20"/>
        <v>0</v>
      </c>
    </row>
    <row r="82" spans="1:12" hidden="1" outlineLevel="1" x14ac:dyDescent="0.35">
      <c r="A82" s="93" t="s">
        <v>134</v>
      </c>
      <c r="B82" s="182" t="s">
        <v>135</v>
      </c>
      <c r="C82" s="26" t="s">
        <v>889</v>
      </c>
      <c r="D82" s="83"/>
      <c r="E82" s="63"/>
      <c r="F82" s="83"/>
      <c r="G82" s="64"/>
      <c r="H82" s="85"/>
      <c r="I82" s="85"/>
      <c r="J82" s="71"/>
      <c r="K82" s="84">
        <f t="shared" si="19"/>
        <v>0</v>
      </c>
      <c r="L82" s="67">
        <f t="shared" si="20"/>
        <v>0</v>
      </c>
    </row>
    <row r="83" spans="1:12" hidden="1" outlineLevel="1" x14ac:dyDescent="0.35">
      <c r="A83" s="93" t="s">
        <v>136</v>
      </c>
      <c r="B83" s="182" t="s">
        <v>137</v>
      </c>
      <c r="C83" s="26" t="s">
        <v>889</v>
      </c>
      <c r="D83" s="83"/>
      <c r="E83" s="63">
        <v>6000</v>
      </c>
      <c r="F83" s="83"/>
      <c r="G83" s="64"/>
      <c r="H83" s="85">
        <v>20753</v>
      </c>
      <c r="I83" s="85"/>
      <c r="J83" s="71"/>
      <c r="K83" s="84">
        <f t="shared" si="19"/>
        <v>0</v>
      </c>
      <c r="L83" s="67">
        <f t="shared" si="20"/>
        <v>26753</v>
      </c>
    </row>
    <row r="84" spans="1:12" hidden="1" outlineLevel="1" x14ac:dyDescent="0.35">
      <c r="A84" s="93" t="s">
        <v>138</v>
      </c>
      <c r="B84" s="182" t="s">
        <v>139</v>
      </c>
      <c r="C84" s="26" t="s">
        <v>889</v>
      </c>
      <c r="D84" s="83"/>
      <c r="E84" s="63"/>
      <c r="F84" s="83"/>
      <c r="G84" s="64"/>
      <c r="H84" s="85"/>
      <c r="I84" s="85">
        <v>12300</v>
      </c>
      <c r="J84" s="71"/>
      <c r="K84" s="84">
        <f t="shared" si="19"/>
        <v>12300</v>
      </c>
      <c r="L84" s="67">
        <f t="shared" si="20"/>
        <v>12300</v>
      </c>
    </row>
    <row r="85" spans="1:12" hidden="1" outlineLevel="1" x14ac:dyDescent="0.35">
      <c r="A85" s="93" t="s">
        <v>140</v>
      </c>
      <c r="B85" s="182" t="s">
        <v>141</v>
      </c>
      <c r="C85" s="26" t="s">
        <v>889</v>
      </c>
      <c r="D85" s="83"/>
      <c r="E85" s="63"/>
      <c r="F85" s="83"/>
      <c r="G85" s="64"/>
      <c r="H85" s="85"/>
      <c r="I85" s="85"/>
      <c r="J85" s="71"/>
      <c r="K85" s="84">
        <f t="shared" si="19"/>
        <v>0</v>
      </c>
      <c r="L85" s="67">
        <f t="shared" si="20"/>
        <v>0</v>
      </c>
    </row>
    <row r="86" spans="1:12" hidden="1" outlineLevel="1" x14ac:dyDescent="0.35">
      <c r="A86" s="93" t="s">
        <v>142</v>
      </c>
      <c r="B86" s="182" t="s">
        <v>143</v>
      </c>
      <c r="C86" s="26" t="s">
        <v>889</v>
      </c>
      <c r="D86" s="83"/>
      <c r="E86" s="63"/>
      <c r="F86" s="83"/>
      <c r="G86" s="64">
        <v>-11500</v>
      </c>
      <c r="H86" s="85"/>
      <c r="I86" s="85"/>
      <c r="J86" s="71"/>
      <c r="K86" s="84">
        <f t="shared" si="19"/>
        <v>0</v>
      </c>
      <c r="L86" s="67">
        <f t="shared" si="20"/>
        <v>-11500</v>
      </c>
    </row>
    <row r="87" spans="1:12" hidden="1" outlineLevel="1" x14ac:dyDescent="0.35">
      <c r="A87" s="93" t="s">
        <v>144</v>
      </c>
      <c r="B87" s="182" t="s">
        <v>143</v>
      </c>
      <c r="C87" s="26" t="s">
        <v>889</v>
      </c>
      <c r="D87" s="83"/>
      <c r="E87" s="63"/>
      <c r="F87" s="83"/>
      <c r="G87" s="64"/>
      <c r="H87" s="85"/>
      <c r="I87" s="85"/>
      <c r="J87" s="71"/>
      <c r="K87" s="84">
        <f t="shared" si="19"/>
        <v>0</v>
      </c>
      <c r="L87" s="67">
        <f t="shared" si="20"/>
        <v>0</v>
      </c>
    </row>
    <row r="88" spans="1:12" hidden="1" outlineLevel="1" x14ac:dyDescent="0.35">
      <c r="A88" s="93" t="s">
        <v>145</v>
      </c>
      <c r="B88" s="182" t="s">
        <v>143</v>
      </c>
      <c r="C88" s="26" t="s">
        <v>889</v>
      </c>
      <c r="D88" s="83"/>
      <c r="E88" s="63"/>
      <c r="F88" s="83"/>
      <c r="G88" s="64"/>
      <c r="H88" s="85"/>
      <c r="I88" s="85"/>
      <c r="J88" s="71"/>
      <c r="K88" s="84">
        <f t="shared" si="19"/>
        <v>0</v>
      </c>
      <c r="L88" s="67">
        <f t="shared" si="20"/>
        <v>0</v>
      </c>
    </row>
    <row r="89" spans="1:12" hidden="1" outlineLevel="1" x14ac:dyDescent="0.35">
      <c r="A89" s="93" t="s">
        <v>146</v>
      </c>
      <c r="B89" s="182" t="s">
        <v>143</v>
      </c>
      <c r="C89" s="26" t="s">
        <v>889</v>
      </c>
      <c r="D89" s="83"/>
      <c r="E89" s="63"/>
      <c r="F89" s="83"/>
      <c r="G89" s="64"/>
      <c r="H89" s="85"/>
      <c r="I89" s="85"/>
      <c r="J89" s="71"/>
      <c r="K89" s="84">
        <f t="shared" si="19"/>
        <v>0</v>
      </c>
      <c r="L89" s="67">
        <f t="shared" si="20"/>
        <v>0</v>
      </c>
    </row>
    <row r="90" spans="1:12" hidden="1" outlineLevel="1" x14ac:dyDescent="0.35">
      <c r="A90" s="93" t="s">
        <v>151</v>
      </c>
      <c r="B90" s="182" t="s">
        <v>152</v>
      </c>
      <c r="C90" s="26" t="s">
        <v>889</v>
      </c>
      <c r="D90" s="83"/>
      <c r="E90" s="63"/>
      <c r="F90" s="83"/>
      <c r="G90" s="64"/>
      <c r="H90" s="85"/>
      <c r="I90" s="85"/>
      <c r="J90" s="71"/>
      <c r="K90" s="84">
        <f t="shared" si="19"/>
        <v>0</v>
      </c>
      <c r="L90" s="67">
        <f t="shared" si="20"/>
        <v>0</v>
      </c>
    </row>
    <row r="91" spans="1:12" hidden="1" outlineLevel="1" x14ac:dyDescent="0.35">
      <c r="A91" s="93" t="s">
        <v>153</v>
      </c>
      <c r="B91" s="182" t="s">
        <v>154</v>
      </c>
      <c r="C91" s="26" t="s">
        <v>889</v>
      </c>
      <c r="D91" s="83"/>
      <c r="E91" s="63"/>
      <c r="F91" s="83"/>
      <c r="G91" s="64">
        <v>2500</v>
      </c>
      <c r="H91" s="85"/>
      <c r="I91" s="85"/>
      <c r="J91" s="71"/>
      <c r="K91" s="84">
        <f t="shared" si="19"/>
        <v>0</v>
      </c>
      <c r="L91" s="67">
        <f t="shared" si="20"/>
        <v>2500</v>
      </c>
    </row>
    <row r="92" spans="1:12" hidden="1" outlineLevel="1" x14ac:dyDescent="0.35">
      <c r="A92" s="93" t="s">
        <v>155</v>
      </c>
      <c r="B92" s="182" t="s">
        <v>156</v>
      </c>
      <c r="C92" s="26" t="s">
        <v>889</v>
      </c>
      <c r="D92" s="83"/>
      <c r="E92" s="63"/>
      <c r="F92" s="83"/>
      <c r="G92" s="64"/>
      <c r="H92" s="85"/>
      <c r="I92" s="85"/>
      <c r="J92" s="71"/>
      <c r="K92" s="84">
        <f t="shared" si="19"/>
        <v>0</v>
      </c>
      <c r="L92" s="67">
        <f t="shared" si="20"/>
        <v>0</v>
      </c>
    </row>
    <row r="93" spans="1:12" hidden="1" outlineLevel="1" x14ac:dyDescent="0.35">
      <c r="A93" s="93" t="s">
        <v>157</v>
      </c>
      <c r="B93" s="182" t="s">
        <v>158</v>
      </c>
      <c r="C93" s="26" t="s">
        <v>889</v>
      </c>
      <c r="D93" s="83"/>
      <c r="E93" s="63"/>
      <c r="F93" s="83"/>
      <c r="G93" s="64">
        <v>49049</v>
      </c>
      <c r="H93" s="85"/>
      <c r="I93" s="85"/>
      <c r="J93" s="71"/>
      <c r="K93" s="84">
        <f t="shared" si="19"/>
        <v>0</v>
      </c>
      <c r="L93" s="67">
        <f t="shared" si="20"/>
        <v>49049</v>
      </c>
    </row>
    <row r="94" spans="1:12" hidden="1" outlineLevel="1" x14ac:dyDescent="0.35">
      <c r="A94" s="93" t="s">
        <v>159</v>
      </c>
      <c r="B94" s="182" t="s">
        <v>160</v>
      </c>
      <c r="C94" s="26" t="s">
        <v>889</v>
      </c>
      <c r="D94" s="83"/>
      <c r="E94" s="63"/>
      <c r="F94" s="83"/>
      <c r="G94" s="64"/>
      <c r="H94" s="85"/>
      <c r="I94" s="85"/>
      <c r="J94" s="71"/>
      <c r="K94" s="84">
        <f t="shared" si="19"/>
        <v>0</v>
      </c>
      <c r="L94" s="67">
        <f t="shared" si="20"/>
        <v>0</v>
      </c>
    </row>
    <row r="95" spans="1:12" hidden="1" outlineLevel="1" x14ac:dyDescent="0.35">
      <c r="A95" s="93" t="s">
        <v>161</v>
      </c>
      <c r="B95" s="182" t="s">
        <v>162</v>
      </c>
      <c r="C95" s="26" t="s">
        <v>889</v>
      </c>
      <c r="D95" s="83"/>
      <c r="E95" s="63"/>
      <c r="F95" s="83"/>
      <c r="G95" s="64"/>
      <c r="H95" s="85"/>
      <c r="I95" s="85"/>
      <c r="J95" s="71"/>
      <c r="K95" s="84">
        <f t="shared" si="19"/>
        <v>0</v>
      </c>
      <c r="L95" s="67">
        <f t="shared" si="20"/>
        <v>0</v>
      </c>
    </row>
    <row r="96" spans="1:12" hidden="1" outlineLevel="1" x14ac:dyDescent="0.35">
      <c r="A96" s="93" t="s">
        <v>163</v>
      </c>
      <c r="B96" s="182" t="s">
        <v>164</v>
      </c>
      <c r="C96" s="26" t="s">
        <v>889</v>
      </c>
      <c r="D96" s="83"/>
      <c r="E96" s="63"/>
      <c r="F96" s="83"/>
      <c r="G96" s="64"/>
      <c r="H96" s="85"/>
      <c r="I96" s="85"/>
      <c r="J96" s="71"/>
      <c r="K96" s="84">
        <f t="shared" si="19"/>
        <v>0</v>
      </c>
      <c r="L96" s="67">
        <f t="shared" si="20"/>
        <v>0</v>
      </c>
    </row>
    <row r="97" spans="1:12" collapsed="1" x14ac:dyDescent="0.35">
      <c r="A97" s="93" t="s">
        <v>165</v>
      </c>
      <c r="B97" s="182" t="s">
        <v>166</v>
      </c>
      <c r="C97" s="26" t="s">
        <v>166</v>
      </c>
      <c r="D97" s="83"/>
      <c r="E97" s="63"/>
      <c r="F97" s="83"/>
      <c r="G97" s="64"/>
      <c r="H97" s="85"/>
      <c r="I97" s="85"/>
      <c r="J97" s="71"/>
      <c r="K97" s="84">
        <f t="shared" si="19"/>
        <v>0</v>
      </c>
      <c r="L97" s="67">
        <f t="shared" si="20"/>
        <v>0</v>
      </c>
    </row>
    <row r="98" spans="1:12" x14ac:dyDescent="0.35">
      <c r="A98" s="93" t="s">
        <v>167</v>
      </c>
      <c r="B98" s="182" t="s">
        <v>168</v>
      </c>
      <c r="C98" s="26" t="s">
        <v>168</v>
      </c>
      <c r="D98" s="83"/>
      <c r="E98" s="63"/>
      <c r="F98" s="83"/>
      <c r="G98" s="64"/>
      <c r="H98" s="85"/>
      <c r="I98" s="85"/>
      <c r="J98" s="71"/>
      <c r="K98" s="84">
        <f t="shared" si="19"/>
        <v>0</v>
      </c>
      <c r="L98" s="67">
        <f t="shared" si="20"/>
        <v>0</v>
      </c>
    </row>
    <row r="99" spans="1:12" x14ac:dyDescent="0.35">
      <c r="A99" s="93" t="s">
        <v>169</v>
      </c>
      <c r="B99" s="182" t="s">
        <v>170</v>
      </c>
      <c r="C99" s="26" t="s">
        <v>891</v>
      </c>
      <c r="D99" s="83"/>
      <c r="E99" s="63"/>
      <c r="F99" s="83"/>
      <c r="G99" s="64"/>
      <c r="H99" s="85"/>
      <c r="I99" s="85"/>
      <c r="J99" s="71"/>
      <c r="K99" s="84">
        <f t="shared" si="19"/>
        <v>0</v>
      </c>
      <c r="L99" s="67">
        <f t="shared" si="20"/>
        <v>0</v>
      </c>
    </row>
    <row r="100" spans="1:12" x14ac:dyDescent="0.35">
      <c r="A100" s="93" t="s">
        <v>171</v>
      </c>
      <c r="B100" s="182" t="s">
        <v>172</v>
      </c>
      <c r="C100" s="26" t="s">
        <v>892</v>
      </c>
      <c r="D100" s="83"/>
      <c r="E100" s="63"/>
      <c r="F100" s="83"/>
      <c r="G100" s="64"/>
      <c r="H100" s="85"/>
      <c r="I100" s="85"/>
      <c r="J100" s="71"/>
      <c r="K100" s="84">
        <f t="shared" si="19"/>
        <v>0</v>
      </c>
      <c r="L100" s="67">
        <f t="shared" si="20"/>
        <v>0</v>
      </c>
    </row>
    <row r="101" spans="1:12" x14ac:dyDescent="0.35">
      <c r="A101" s="93" t="s">
        <v>173</v>
      </c>
      <c r="B101" s="182" t="s">
        <v>174</v>
      </c>
      <c r="C101" s="26" t="s">
        <v>174</v>
      </c>
      <c r="D101" s="83"/>
      <c r="E101" s="63"/>
      <c r="F101" s="83"/>
      <c r="G101" s="64"/>
      <c r="H101" s="85"/>
      <c r="I101" s="85"/>
      <c r="J101" s="71"/>
      <c r="K101" s="84">
        <f t="shared" si="19"/>
        <v>0</v>
      </c>
      <c r="L101" s="67">
        <f t="shared" si="20"/>
        <v>0</v>
      </c>
    </row>
    <row r="102" spans="1:12" ht="15" collapsed="1" thickBot="1" x14ac:dyDescent="0.4">
      <c r="A102" s="93"/>
      <c r="B102" s="182" t="s">
        <v>893</v>
      </c>
      <c r="C102" s="26"/>
      <c r="D102" s="83">
        <f>SUM(D103:D121)</f>
        <v>0</v>
      </c>
      <c r="E102" s="63">
        <f t="shared" ref="E102:G102" si="21">SUM(E103:E121)</f>
        <v>1180231</v>
      </c>
      <c r="F102" s="83">
        <f t="shared" si="21"/>
        <v>5026764</v>
      </c>
      <c r="G102" s="63">
        <f t="shared" si="21"/>
        <v>5410068</v>
      </c>
      <c r="H102" s="83">
        <f>SUM(H103:H121)</f>
        <v>3364807</v>
      </c>
      <c r="I102" s="83">
        <f t="shared" ref="I102" si="22">SUM(I103:I121)</f>
        <v>574084</v>
      </c>
      <c r="J102" s="71"/>
      <c r="K102" s="84">
        <f t="shared" si="19"/>
        <v>574084</v>
      </c>
      <c r="L102" s="67">
        <f t="shared" si="20"/>
        <v>15555954</v>
      </c>
    </row>
    <row r="103" spans="1:12" ht="15" hidden="1" outlineLevel="1" thickBot="1" x14ac:dyDescent="0.4">
      <c r="A103" s="93" t="s">
        <v>175</v>
      </c>
      <c r="B103" s="182" t="s">
        <v>176</v>
      </c>
      <c r="C103" s="26" t="s">
        <v>893</v>
      </c>
      <c r="D103" s="83"/>
      <c r="E103" s="63">
        <v>2000</v>
      </c>
      <c r="F103" s="83">
        <v>1869</v>
      </c>
      <c r="G103" s="64"/>
      <c r="H103" s="85">
        <v>5391</v>
      </c>
      <c r="I103" s="85"/>
      <c r="J103" s="71"/>
      <c r="K103" s="84">
        <f t="shared" si="19"/>
        <v>0</v>
      </c>
      <c r="L103" s="67">
        <f t="shared" si="20"/>
        <v>9260</v>
      </c>
    </row>
    <row r="104" spans="1:12" ht="15" hidden="1" outlineLevel="1" thickBot="1" x14ac:dyDescent="0.4">
      <c r="A104" s="93" t="s">
        <v>177</v>
      </c>
      <c r="B104" s="182" t="s">
        <v>178</v>
      </c>
      <c r="C104" s="26" t="s">
        <v>893</v>
      </c>
      <c r="D104" s="83"/>
      <c r="E104" s="63"/>
      <c r="F104" s="83">
        <v>600</v>
      </c>
      <c r="G104" s="64"/>
      <c r="H104" s="85"/>
      <c r="I104" s="85"/>
      <c r="J104" s="71"/>
      <c r="K104" s="84">
        <f t="shared" si="19"/>
        <v>0</v>
      </c>
      <c r="L104" s="67">
        <f t="shared" si="20"/>
        <v>600</v>
      </c>
    </row>
    <row r="105" spans="1:12" ht="15" hidden="1" outlineLevel="1" thickBot="1" x14ac:dyDescent="0.4">
      <c r="A105" s="93" t="s">
        <v>179</v>
      </c>
      <c r="B105" s="182" t="s">
        <v>180</v>
      </c>
      <c r="C105" s="26" t="s">
        <v>893</v>
      </c>
      <c r="D105" s="83"/>
      <c r="E105" s="63"/>
      <c r="F105" s="83"/>
      <c r="G105" s="64"/>
      <c r="H105" s="85"/>
      <c r="I105" s="85"/>
      <c r="J105" s="71"/>
      <c r="K105" s="84">
        <f t="shared" si="19"/>
        <v>0</v>
      </c>
      <c r="L105" s="67">
        <f t="shared" si="20"/>
        <v>0</v>
      </c>
    </row>
    <row r="106" spans="1:12" ht="15" hidden="1" outlineLevel="1" thickBot="1" x14ac:dyDescent="0.4">
      <c r="A106" s="93" t="s">
        <v>181</v>
      </c>
      <c r="B106" s="182" t="s">
        <v>182</v>
      </c>
      <c r="C106" s="26" t="s">
        <v>893</v>
      </c>
      <c r="D106" s="83"/>
      <c r="E106" s="63"/>
      <c r="F106" s="83"/>
      <c r="G106" s="64"/>
      <c r="H106" s="85"/>
      <c r="I106" s="85"/>
      <c r="J106" s="71"/>
      <c r="K106" s="84">
        <f t="shared" si="19"/>
        <v>0</v>
      </c>
      <c r="L106" s="67">
        <f t="shared" si="20"/>
        <v>0</v>
      </c>
    </row>
    <row r="107" spans="1:12" ht="15" hidden="1" outlineLevel="1" thickBot="1" x14ac:dyDescent="0.4">
      <c r="A107" s="93" t="s">
        <v>183</v>
      </c>
      <c r="B107" s="182" t="s">
        <v>184</v>
      </c>
      <c r="C107" s="26" t="s">
        <v>893</v>
      </c>
      <c r="D107" s="83"/>
      <c r="E107" s="63"/>
      <c r="F107" s="83"/>
      <c r="G107" s="64"/>
      <c r="H107" s="85"/>
      <c r="I107" s="85"/>
      <c r="J107" s="71"/>
      <c r="K107" s="84">
        <f t="shared" si="19"/>
        <v>0</v>
      </c>
      <c r="L107" s="67">
        <f t="shared" si="20"/>
        <v>0</v>
      </c>
    </row>
    <row r="108" spans="1:12" ht="15" hidden="1" outlineLevel="1" thickBot="1" x14ac:dyDescent="0.4">
      <c r="A108" s="99" t="s">
        <v>185</v>
      </c>
      <c r="B108" s="182" t="s">
        <v>186</v>
      </c>
      <c r="C108" s="26" t="s">
        <v>893</v>
      </c>
      <c r="D108" s="83"/>
      <c r="E108" s="63"/>
      <c r="F108" s="83"/>
      <c r="G108" s="64"/>
      <c r="H108" s="85"/>
      <c r="I108" s="85"/>
      <c r="J108" s="71"/>
      <c r="K108" s="84">
        <f t="shared" si="19"/>
        <v>0</v>
      </c>
      <c r="L108" s="67">
        <f t="shared" si="20"/>
        <v>0</v>
      </c>
    </row>
    <row r="109" spans="1:12" ht="15" hidden="1" outlineLevel="1" thickBot="1" x14ac:dyDescent="0.4">
      <c r="A109" s="99" t="s">
        <v>187</v>
      </c>
      <c r="B109" s="182" t="s">
        <v>188</v>
      </c>
      <c r="C109" s="26" t="s">
        <v>893</v>
      </c>
      <c r="D109" s="83"/>
      <c r="E109" s="63"/>
      <c r="F109" s="83"/>
      <c r="G109" s="64"/>
      <c r="H109" s="85"/>
      <c r="I109" s="85"/>
      <c r="J109" s="71"/>
      <c r="K109" s="84">
        <f t="shared" si="19"/>
        <v>0</v>
      </c>
      <c r="L109" s="67">
        <f t="shared" si="20"/>
        <v>0</v>
      </c>
    </row>
    <row r="110" spans="1:12" ht="15" hidden="1" outlineLevel="1" thickBot="1" x14ac:dyDescent="0.4">
      <c r="A110" s="93" t="s">
        <v>189</v>
      </c>
      <c r="B110" s="182" t="s">
        <v>190</v>
      </c>
      <c r="C110" s="26" t="s">
        <v>893</v>
      </c>
      <c r="D110" s="83"/>
      <c r="E110" s="63"/>
      <c r="F110" s="83"/>
      <c r="G110" s="64"/>
      <c r="H110" s="85"/>
      <c r="I110" s="85"/>
      <c r="J110" s="71"/>
      <c r="K110" s="84">
        <f t="shared" si="19"/>
        <v>0</v>
      </c>
      <c r="L110" s="67">
        <f t="shared" si="20"/>
        <v>0</v>
      </c>
    </row>
    <row r="111" spans="1:12" ht="15" hidden="1" outlineLevel="1" thickBot="1" x14ac:dyDescent="0.4">
      <c r="A111" s="93" t="s">
        <v>191</v>
      </c>
      <c r="B111" s="182" t="s">
        <v>192</v>
      </c>
      <c r="C111" s="26" t="s">
        <v>893</v>
      </c>
      <c r="D111" s="83"/>
      <c r="E111" s="63">
        <v>79495</v>
      </c>
      <c r="F111" s="83">
        <v>496788</v>
      </c>
      <c r="G111" s="64">
        <v>2742740</v>
      </c>
      <c r="H111" s="85">
        <v>1330012</v>
      </c>
      <c r="I111" s="85">
        <v>457028</v>
      </c>
      <c r="J111" s="71"/>
      <c r="K111" s="84">
        <f t="shared" si="19"/>
        <v>457028</v>
      </c>
      <c r="L111" s="67">
        <f t="shared" si="20"/>
        <v>5106063</v>
      </c>
    </row>
    <row r="112" spans="1:12" ht="15" hidden="1" outlineLevel="1" thickBot="1" x14ac:dyDescent="0.4">
      <c r="A112" s="93" t="s">
        <v>193</v>
      </c>
      <c r="B112" s="182" t="s">
        <v>194</v>
      </c>
      <c r="C112" s="26" t="s">
        <v>893</v>
      </c>
      <c r="D112" s="83"/>
      <c r="E112" s="63">
        <v>1073478</v>
      </c>
      <c r="F112" s="83">
        <v>1393170</v>
      </c>
      <c r="G112" s="64">
        <v>2584156</v>
      </c>
      <c r="H112" s="85">
        <v>1534796</v>
      </c>
      <c r="I112" s="85">
        <v>100047</v>
      </c>
      <c r="J112" s="71"/>
      <c r="K112" s="84">
        <f t="shared" si="19"/>
        <v>100047</v>
      </c>
      <c r="L112" s="67">
        <f t="shared" si="20"/>
        <v>6685647</v>
      </c>
    </row>
    <row r="113" spans="1:12" ht="15" hidden="1" outlineLevel="1" thickBot="1" x14ac:dyDescent="0.4">
      <c r="A113" s="93" t="s">
        <v>195</v>
      </c>
      <c r="B113" s="182" t="s">
        <v>196</v>
      </c>
      <c r="C113" s="26" t="s">
        <v>893</v>
      </c>
      <c r="D113" s="83"/>
      <c r="E113" s="63">
        <v>17888</v>
      </c>
      <c r="F113" s="83">
        <v>3019171</v>
      </c>
      <c r="G113" s="64">
        <v>28965</v>
      </c>
      <c r="H113" s="85">
        <v>465414</v>
      </c>
      <c r="I113" s="85"/>
      <c r="J113" s="71"/>
      <c r="K113" s="84">
        <f t="shared" si="19"/>
        <v>0</v>
      </c>
      <c r="L113" s="67">
        <f t="shared" si="20"/>
        <v>3531438</v>
      </c>
    </row>
    <row r="114" spans="1:12" ht="15" hidden="1" outlineLevel="1" thickBot="1" x14ac:dyDescent="0.4">
      <c r="A114" s="93" t="s">
        <v>197</v>
      </c>
      <c r="B114" s="182" t="s">
        <v>198</v>
      </c>
      <c r="C114" s="26" t="s">
        <v>893</v>
      </c>
      <c r="D114" s="83"/>
      <c r="E114" s="63">
        <v>7370</v>
      </c>
      <c r="F114" s="83">
        <v>599</v>
      </c>
      <c r="G114" s="64">
        <v>9058</v>
      </c>
      <c r="H114" s="85"/>
      <c r="I114" s="85"/>
      <c r="J114" s="71"/>
      <c r="K114" s="84">
        <f t="shared" si="19"/>
        <v>0</v>
      </c>
      <c r="L114" s="67">
        <f t="shared" si="20"/>
        <v>17027</v>
      </c>
    </row>
    <row r="115" spans="1:12" ht="15" hidden="1" outlineLevel="1" thickBot="1" x14ac:dyDescent="0.4">
      <c r="A115" s="93" t="s">
        <v>199</v>
      </c>
      <c r="B115" s="182" t="s">
        <v>200</v>
      </c>
      <c r="C115" s="26" t="s">
        <v>893</v>
      </c>
      <c r="D115" s="83"/>
      <c r="E115" s="63"/>
      <c r="F115" s="83">
        <v>-486</v>
      </c>
      <c r="G115" s="64">
        <v>11371</v>
      </c>
      <c r="H115" s="85"/>
      <c r="I115" s="85"/>
      <c r="J115" s="71"/>
      <c r="K115" s="84">
        <f t="shared" si="19"/>
        <v>0</v>
      </c>
      <c r="L115" s="67">
        <f t="shared" si="20"/>
        <v>10885</v>
      </c>
    </row>
    <row r="116" spans="1:12" ht="15" hidden="1" outlineLevel="1" thickBot="1" x14ac:dyDescent="0.4">
      <c r="A116" s="93" t="s">
        <v>201</v>
      </c>
      <c r="B116" s="182" t="s">
        <v>202</v>
      </c>
      <c r="C116" s="26" t="s">
        <v>893</v>
      </c>
      <c r="D116" s="83"/>
      <c r="E116" s="63"/>
      <c r="F116" s="83"/>
      <c r="G116" s="64"/>
      <c r="H116" s="85"/>
      <c r="I116" s="85"/>
      <c r="J116" s="71"/>
      <c r="K116" s="84">
        <f t="shared" si="19"/>
        <v>0</v>
      </c>
      <c r="L116" s="67">
        <f t="shared" si="20"/>
        <v>0</v>
      </c>
    </row>
    <row r="117" spans="1:12" ht="15" hidden="1" outlineLevel="1" thickBot="1" x14ac:dyDescent="0.4">
      <c r="A117" s="93" t="s">
        <v>203</v>
      </c>
      <c r="B117" s="182" t="s">
        <v>204</v>
      </c>
      <c r="C117" s="26" t="s">
        <v>893</v>
      </c>
      <c r="D117" s="83"/>
      <c r="E117" s="63"/>
      <c r="F117" s="83"/>
      <c r="G117" s="64"/>
      <c r="H117" s="85"/>
      <c r="I117" s="85"/>
      <c r="J117" s="71"/>
      <c r="K117" s="84">
        <f t="shared" si="19"/>
        <v>0</v>
      </c>
      <c r="L117" s="67">
        <f t="shared" si="20"/>
        <v>0</v>
      </c>
    </row>
    <row r="118" spans="1:12" ht="15" hidden="1" outlineLevel="1" thickBot="1" x14ac:dyDescent="0.4">
      <c r="A118" s="93" t="s">
        <v>205</v>
      </c>
      <c r="B118" s="182" t="s">
        <v>206</v>
      </c>
      <c r="C118" s="26" t="s">
        <v>893</v>
      </c>
      <c r="D118" s="83"/>
      <c r="E118" s="63"/>
      <c r="F118" s="83"/>
      <c r="G118" s="64"/>
      <c r="H118" s="85"/>
      <c r="I118" s="85"/>
      <c r="J118" s="71"/>
      <c r="K118" s="84">
        <f t="shared" si="19"/>
        <v>0</v>
      </c>
      <c r="L118" s="67">
        <f t="shared" si="20"/>
        <v>0</v>
      </c>
    </row>
    <row r="119" spans="1:12" ht="15" hidden="1" outlineLevel="1" thickBot="1" x14ac:dyDescent="0.4">
      <c r="A119" s="93" t="s">
        <v>207</v>
      </c>
      <c r="B119" s="182" t="s">
        <v>208</v>
      </c>
      <c r="C119" s="26" t="s">
        <v>893</v>
      </c>
      <c r="D119" s="83"/>
      <c r="E119" s="63"/>
      <c r="F119" s="83"/>
      <c r="G119" s="64"/>
      <c r="H119" s="85"/>
      <c r="I119" s="85"/>
      <c r="J119" s="71"/>
      <c r="K119" s="84">
        <f t="shared" si="19"/>
        <v>0</v>
      </c>
      <c r="L119" s="67">
        <f t="shared" si="20"/>
        <v>0</v>
      </c>
    </row>
    <row r="120" spans="1:12" ht="15" hidden="1" outlineLevel="1" thickBot="1" x14ac:dyDescent="0.4">
      <c r="A120" s="93" t="s">
        <v>209</v>
      </c>
      <c r="B120" s="182" t="s">
        <v>210</v>
      </c>
      <c r="C120" s="26" t="s">
        <v>893</v>
      </c>
      <c r="D120" s="83"/>
      <c r="E120" s="63"/>
      <c r="F120" s="83">
        <v>115053</v>
      </c>
      <c r="G120" s="64">
        <v>33778</v>
      </c>
      <c r="H120" s="85">
        <v>29194</v>
      </c>
      <c r="I120" s="85">
        <v>17009</v>
      </c>
      <c r="J120" s="71"/>
      <c r="K120" s="84">
        <f t="shared" si="19"/>
        <v>17009</v>
      </c>
      <c r="L120" s="67">
        <f t="shared" si="20"/>
        <v>195034</v>
      </c>
    </row>
    <row r="121" spans="1:12" ht="15" hidden="1" outlineLevel="1" thickBot="1" x14ac:dyDescent="0.4">
      <c r="A121" s="93" t="s">
        <v>211</v>
      </c>
      <c r="B121" s="182" t="s">
        <v>212</v>
      </c>
      <c r="C121" s="26" t="s">
        <v>893</v>
      </c>
      <c r="D121" s="83"/>
      <c r="E121" s="63"/>
      <c r="F121" s="83"/>
      <c r="G121" s="64"/>
      <c r="H121" s="85"/>
      <c r="I121" s="85"/>
      <c r="J121" s="71"/>
      <c r="K121" s="84">
        <f t="shared" si="19"/>
        <v>0</v>
      </c>
      <c r="L121" s="67">
        <f t="shared" si="20"/>
        <v>0</v>
      </c>
    </row>
    <row r="122" spans="1:12" ht="15" collapsed="1" thickBot="1" x14ac:dyDescent="0.4">
      <c r="A122" s="100"/>
      <c r="B122" s="187" t="s">
        <v>1284</v>
      </c>
      <c r="C122" s="34"/>
      <c r="D122" s="86">
        <f t="shared" ref="D122" si="23">SUM(D4:D102)</f>
        <v>0</v>
      </c>
      <c r="E122" s="51">
        <f>E14+E59+E65+E102</f>
        <v>5501571</v>
      </c>
      <c r="F122" s="86">
        <f>F14+F32+F52+F59+F102</f>
        <v>6391169</v>
      </c>
      <c r="G122" s="51">
        <f>G14+G32+G52+G59+G65+G102</f>
        <v>6892789</v>
      </c>
      <c r="H122" s="86">
        <f>H14+H32+H52+H65+H102</f>
        <v>4596660</v>
      </c>
      <c r="I122" s="86">
        <f>I59+I65+I102</f>
        <v>899778</v>
      </c>
      <c r="J122" s="86"/>
      <c r="K122" s="142">
        <f t="shared" si="19"/>
        <v>899778</v>
      </c>
      <c r="L122" s="113">
        <f t="shared" si="20"/>
        <v>24281967</v>
      </c>
    </row>
    <row r="123" spans="1:12" x14ac:dyDescent="0.35">
      <c r="A123" s="101"/>
      <c r="B123" s="188"/>
      <c r="C123" s="35"/>
      <c r="D123" s="87"/>
      <c r="E123" s="73"/>
      <c r="F123" s="87"/>
      <c r="G123" s="73"/>
      <c r="H123" s="87"/>
      <c r="I123" s="67"/>
      <c r="J123" s="71"/>
      <c r="K123" s="84">
        <f t="shared" si="19"/>
        <v>0</v>
      </c>
      <c r="L123" s="67">
        <f t="shared" si="20"/>
        <v>0</v>
      </c>
    </row>
    <row r="124" spans="1:12" x14ac:dyDescent="0.35">
      <c r="A124" s="93" t="s">
        <v>213</v>
      </c>
      <c r="B124" s="182" t="s">
        <v>0</v>
      </c>
      <c r="C124" s="26" t="s">
        <v>894</v>
      </c>
      <c r="D124" s="83"/>
      <c r="E124" s="63">
        <v>5145553</v>
      </c>
      <c r="F124" s="83"/>
      <c r="G124" s="64">
        <v>2523469</v>
      </c>
      <c r="H124" s="85"/>
      <c r="I124" s="67"/>
      <c r="J124" s="71"/>
      <c r="K124" s="84">
        <f t="shared" si="19"/>
        <v>0</v>
      </c>
      <c r="L124" s="67">
        <f t="shared" si="20"/>
        <v>7669022</v>
      </c>
    </row>
    <row r="125" spans="1:12" x14ac:dyDescent="0.35">
      <c r="A125" s="93" t="s">
        <v>214</v>
      </c>
      <c r="B125" s="182" t="s">
        <v>215</v>
      </c>
      <c r="C125" s="26" t="s">
        <v>215</v>
      </c>
      <c r="D125" s="83"/>
      <c r="E125" s="63"/>
      <c r="F125" s="83"/>
      <c r="G125" s="64"/>
      <c r="H125" s="85"/>
      <c r="I125" s="67"/>
      <c r="J125" s="71"/>
      <c r="K125" s="84">
        <f t="shared" si="19"/>
        <v>0</v>
      </c>
      <c r="L125" s="67">
        <f t="shared" si="20"/>
        <v>0</v>
      </c>
    </row>
    <row r="126" spans="1:12" x14ac:dyDescent="0.35">
      <c r="A126" s="93" t="s">
        <v>216</v>
      </c>
      <c r="B126" s="182" t="s">
        <v>217</v>
      </c>
      <c r="C126" s="26" t="s">
        <v>217</v>
      </c>
      <c r="D126" s="83"/>
      <c r="E126" s="63"/>
      <c r="F126" s="83"/>
      <c r="G126" s="64"/>
      <c r="H126" s="85"/>
      <c r="I126" s="67"/>
      <c r="J126" s="71"/>
      <c r="K126" s="84">
        <f t="shared" si="19"/>
        <v>0</v>
      </c>
      <c r="L126" s="67">
        <f t="shared" si="20"/>
        <v>0</v>
      </c>
    </row>
    <row r="127" spans="1:12" collapsed="1" x14ac:dyDescent="0.35">
      <c r="A127" s="93"/>
      <c r="B127" s="182" t="s">
        <v>896</v>
      </c>
      <c r="C127" s="26"/>
      <c r="D127" s="83">
        <f>SUM(D128:D129)</f>
        <v>0</v>
      </c>
      <c r="E127" s="63">
        <f t="shared" ref="E127:G127" si="24">SUM(E128:E129)</f>
        <v>0</v>
      </c>
      <c r="F127" s="83">
        <f t="shared" si="24"/>
        <v>4676214</v>
      </c>
      <c r="G127" s="63">
        <f t="shared" si="24"/>
        <v>3253009</v>
      </c>
      <c r="H127" s="83">
        <v>3618590</v>
      </c>
      <c r="I127" s="83">
        <f t="shared" ref="I127" si="25">SUM(I128:I129)</f>
        <v>796883</v>
      </c>
      <c r="J127" s="71"/>
      <c r="K127" s="84">
        <f t="shared" si="19"/>
        <v>796883</v>
      </c>
      <c r="L127" s="67">
        <f>K127+D127+E127+F127+G127+H127</f>
        <v>12344696</v>
      </c>
    </row>
    <row r="128" spans="1:12" hidden="1" outlineLevel="1" x14ac:dyDescent="0.35">
      <c r="A128" s="93" t="s">
        <v>218</v>
      </c>
      <c r="B128" s="184" t="s">
        <v>895</v>
      </c>
      <c r="C128" s="26" t="s">
        <v>896</v>
      </c>
      <c r="D128" s="83"/>
      <c r="E128" s="63"/>
      <c r="F128" s="83">
        <v>4676214</v>
      </c>
      <c r="G128" s="83">
        <v>3253009</v>
      </c>
      <c r="H128" s="85">
        <v>3537685</v>
      </c>
      <c r="I128" s="85">
        <v>796883</v>
      </c>
      <c r="J128" s="71"/>
      <c r="K128" s="84">
        <f t="shared" si="19"/>
        <v>796883</v>
      </c>
      <c r="L128" s="67">
        <f t="shared" si="20"/>
        <v>12263791</v>
      </c>
    </row>
    <row r="129" spans="1:12" hidden="1" outlineLevel="1" x14ac:dyDescent="0.35">
      <c r="A129" s="93" t="s">
        <v>219</v>
      </c>
      <c r="B129" s="182" t="s">
        <v>220</v>
      </c>
      <c r="C129" s="26" t="s">
        <v>896</v>
      </c>
      <c r="D129" s="83"/>
      <c r="E129" s="63"/>
      <c r="F129" s="83"/>
      <c r="G129" s="64"/>
      <c r="H129" s="85"/>
      <c r="I129" s="85"/>
      <c r="J129" s="71"/>
      <c r="K129" s="84">
        <f t="shared" si="19"/>
        <v>0</v>
      </c>
      <c r="L129" s="67">
        <f t="shared" si="20"/>
        <v>0</v>
      </c>
    </row>
    <row r="130" spans="1:12" x14ac:dyDescent="0.35">
      <c r="A130" s="93" t="s">
        <v>221</v>
      </c>
      <c r="B130" s="182" t="s">
        <v>222</v>
      </c>
      <c r="C130" s="26" t="s">
        <v>222</v>
      </c>
      <c r="D130" s="83"/>
      <c r="E130" s="63"/>
      <c r="F130" s="83"/>
      <c r="G130" s="64"/>
      <c r="H130" s="85"/>
      <c r="I130" s="85"/>
      <c r="J130" s="71"/>
      <c r="K130" s="84">
        <f t="shared" si="19"/>
        <v>0</v>
      </c>
      <c r="L130" s="67">
        <f t="shared" si="20"/>
        <v>0</v>
      </c>
    </row>
    <row r="131" spans="1:12" x14ac:dyDescent="0.35">
      <c r="A131" s="93" t="s">
        <v>223</v>
      </c>
      <c r="B131" s="182" t="s">
        <v>224</v>
      </c>
      <c r="C131" s="26" t="s">
        <v>224</v>
      </c>
      <c r="D131" s="83"/>
      <c r="E131" s="63"/>
      <c r="F131" s="83"/>
      <c r="G131" s="64"/>
      <c r="H131" s="85"/>
      <c r="I131" s="85"/>
      <c r="J131" s="71"/>
      <c r="K131" s="84">
        <f t="shared" si="19"/>
        <v>0</v>
      </c>
      <c r="L131" s="67">
        <f t="shared" si="20"/>
        <v>0</v>
      </c>
    </row>
    <row r="132" spans="1:12" x14ac:dyDescent="0.35">
      <c r="A132" s="93" t="s">
        <v>225</v>
      </c>
      <c r="B132" s="182" t="s">
        <v>226</v>
      </c>
      <c r="C132" s="26" t="s">
        <v>226</v>
      </c>
      <c r="D132" s="83"/>
      <c r="E132" s="63"/>
      <c r="F132" s="83"/>
      <c r="G132" s="64"/>
      <c r="H132" s="85"/>
      <c r="I132" s="85"/>
      <c r="J132" s="71"/>
      <c r="K132" s="84">
        <f t="shared" si="19"/>
        <v>0</v>
      </c>
      <c r="L132" s="67">
        <f t="shared" si="20"/>
        <v>0</v>
      </c>
    </row>
    <row r="133" spans="1:12" collapsed="1" x14ac:dyDescent="0.35">
      <c r="A133" s="93"/>
      <c r="B133" s="182" t="s">
        <v>897</v>
      </c>
      <c r="C133" s="26"/>
      <c r="D133" s="83">
        <f>SUM(D134:D135)</f>
        <v>0</v>
      </c>
      <c r="E133" s="63">
        <f t="shared" ref="E133:H133" si="26">SUM(E134:E135)</f>
        <v>0</v>
      </c>
      <c r="F133" s="83">
        <f t="shared" si="26"/>
        <v>0</v>
      </c>
      <c r="G133" s="63">
        <f t="shared" si="26"/>
        <v>0</v>
      </c>
      <c r="H133" s="83">
        <f t="shared" si="26"/>
        <v>0</v>
      </c>
      <c r="I133" s="83">
        <f t="shared" ref="I133" si="27">SUM(I134:I135)</f>
        <v>0</v>
      </c>
      <c r="J133" s="71"/>
      <c r="K133" s="84">
        <f t="shared" si="19"/>
        <v>0</v>
      </c>
      <c r="L133" s="67">
        <f t="shared" si="20"/>
        <v>0</v>
      </c>
    </row>
    <row r="134" spans="1:12" hidden="1" outlineLevel="1" x14ac:dyDescent="0.35">
      <c r="A134" s="93" t="s">
        <v>227</v>
      </c>
      <c r="B134" s="182" t="s">
        <v>228</v>
      </c>
      <c r="C134" s="26" t="s">
        <v>897</v>
      </c>
      <c r="D134" s="83"/>
      <c r="E134" s="63"/>
      <c r="F134" s="83"/>
      <c r="G134" s="64"/>
      <c r="H134" s="85"/>
      <c r="I134" s="85"/>
      <c r="J134" s="71"/>
      <c r="K134" s="84">
        <f t="shared" ref="K134:K191" si="28">J134+I134</f>
        <v>0</v>
      </c>
      <c r="L134" s="67">
        <f t="shared" ref="L134:L191" si="29">K134+D134+E134+F134+G134+H134</f>
        <v>0</v>
      </c>
    </row>
    <row r="135" spans="1:12" hidden="1" outlineLevel="1" x14ac:dyDescent="0.35">
      <c r="A135" s="93" t="s">
        <v>229</v>
      </c>
      <c r="B135" s="182" t="s">
        <v>230</v>
      </c>
      <c r="C135" s="26" t="s">
        <v>897</v>
      </c>
      <c r="D135" s="83"/>
      <c r="E135" s="63"/>
      <c r="F135" s="83"/>
      <c r="G135" s="64"/>
      <c r="H135" s="85"/>
      <c r="I135" s="85"/>
      <c r="J135" s="71"/>
      <c r="K135" s="84">
        <f t="shared" si="28"/>
        <v>0</v>
      </c>
      <c r="L135" s="67">
        <f t="shared" si="29"/>
        <v>0</v>
      </c>
    </row>
    <row r="136" spans="1:12" collapsed="1" x14ac:dyDescent="0.35">
      <c r="A136" s="93"/>
      <c r="B136" s="182" t="s">
        <v>898</v>
      </c>
      <c r="C136" s="26"/>
      <c r="D136" s="83">
        <f>SUM(D137:D142)</f>
        <v>0</v>
      </c>
      <c r="E136" s="63">
        <f t="shared" ref="E136:G136" si="30">SUM(E137:E142)</f>
        <v>0</v>
      </c>
      <c r="F136" s="83">
        <f t="shared" si="30"/>
        <v>0</v>
      </c>
      <c r="G136" s="63">
        <f t="shared" si="30"/>
        <v>0</v>
      </c>
      <c r="H136" s="83">
        <f>SUM(H137:H142)</f>
        <v>0</v>
      </c>
      <c r="I136" s="83">
        <f>SUM(I137:I142)</f>
        <v>0</v>
      </c>
      <c r="J136" s="71"/>
      <c r="K136" s="84">
        <f t="shared" si="28"/>
        <v>0</v>
      </c>
      <c r="L136" s="67">
        <f t="shared" si="29"/>
        <v>0</v>
      </c>
    </row>
    <row r="137" spans="1:12" hidden="1" outlineLevel="1" x14ac:dyDescent="0.35">
      <c r="A137" s="93" t="s">
        <v>231</v>
      </c>
      <c r="B137" s="182" t="s">
        <v>232</v>
      </c>
      <c r="C137" s="26" t="s">
        <v>898</v>
      </c>
      <c r="D137" s="83"/>
      <c r="E137" s="63"/>
      <c r="F137" s="83"/>
      <c r="G137" s="64"/>
      <c r="H137" s="85"/>
      <c r="I137" s="85"/>
      <c r="J137" s="71"/>
      <c r="K137" s="84">
        <f t="shared" si="28"/>
        <v>0</v>
      </c>
      <c r="L137" s="67">
        <f t="shared" si="29"/>
        <v>0</v>
      </c>
    </row>
    <row r="138" spans="1:12" hidden="1" outlineLevel="1" x14ac:dyDescent="0.35">
      <c r="A138" s="93" t="s">
        <v>233</v>
      </c>
      <c r="B138" s="182" t="s">
        <v>234</v>
      </c>
      <c r="C138" s="26" t="s">
        <v>898</v>
      </c>
      <c r="D138" s="83"/>
      <c r="E138" s="63"/>
      <c r="F138" s="83"/>
      <c r="G138" s="64"/>
      <c r="H138" s="85"/>
      <c r="I138" s="85"/>
      <c r="J138" s="71"/>
      <c r="K138" s="84">
        <f t="shared" si="28"/>
        <v>0</v>
      </c>
      <c r="L138" s="67">
        <f t="shared" si="29"/>
        <v>0</v>
      </c>
    </row>
    <row r="139" spans="1:12" hidden="1" outlineLevel="1" x14ac:dyDescent="0.35">
      <c r="A139" s="93" t="s">
        <v>235</v>
      </c>
      <c r="B139" s="182" t="s">
        <v>236</v>
      </c>
      <c r="C139" s="26" t="s">
        <v>898</v>
      </c>
      <c r="D139" s="83"/>
      <c r="E139" s="63"/>
      <c r="F139" s="83"/>
      <c r="G139" s="64"/>
      <c r="H139" s="85"/>
      <c r="I139" s="85"/>
      <c r="J139" s="71"/>
      <c r="K139" s="84">
        <f t="shared" si="28"/>
        <v>0</v>
      </c>
      <c r="L139" s="67">
        <f t="shared" si="29"/>
        <v>0</v>
      </c>
    </row>
    <row r="140" spans="1:12" hidden="1" outlineLevel="1" x14ac:dyDescent="0.35">
      <c r="A140" s="93" t="s">
        <v>237</v>
      </c>
      <c r="B140" s="182" t="s">
        <v>238</v>
      </c>
      <c r="C140" s="26" t="s">
        <v>898</v>
      </c>
      <c r="D140" s="83"/>
      <c r="E140" s="63"/>
      <c r="F140" s="83"/>
      <c r="G140" s="64"/>
      <c r="H140" s="85"/>
      <c r="I140" s="85"/>
      <c r="J140" s="71"/>
      <c r="K140" s="84">
        <f t="shared" si="28"/>
        <v>0</v>
      </c>
      <c r="L140" s="67">
        <f t="shared" si="29"/>
        <v>0</v>
      </c>
    </row>
    <row r="141" spans="1:12" hidden="1" outlineLevel="1" x14ac:dyDescent="0.35">
      <c r="A141" s="93" t="s">
        <v>239</v>
      </c>
      <c r="B141" s="182" t="s">
        <v>240</v>
      </c>
      <c r="C141" s="26" t="s">
        <v>898</v>
      </c>
      <c r="D141" s="83"/>
      <c r="E141" s="63"/>
      <c r="F141" s="83"/>
      <c r="G141" s="64"/>
      <c r="H141" s="85"/>
      <c r="I141" s="85"/>
      <c r="J141" s="71"/>
      <c r="K141" s="84">
        <f t="shared" si="28"/>
        <v>0</v>
      </c>
      <c r="L141" s="67">
        <f t="shared" si="29"/>
        <v>0</v>
      </c>
    </row>
    <row r="142" spans="1:12" hidden="1" outlineLevel="1" x14ac:dyDescent="0.35">
      <c r="A142" s="93" t="s">
        <v>241</v>
      </c>
      <c r="B142" s="182" t="s">
        <v>242</v>
      </c>
      <c r="C142" s="26" t="s">
        <v>898</v>
      </c>
      <c r="D142" s="83"/>
      <c r="E142" s="63"/>
      <c r="F142" s="83"/>
      <c r="G142" s="64"/>
      <c r="H142" s="85"/>
      <c r="I142" s="85"/>
      <c r="J142" s="71"/>
      <c r="K142" s="84">
        <f t="shared" si="28"/>
        <v>0</v>
      </c>
      <c r="L142" s="67">
        <f t="shared" si="29"/>
        <v>0</v>
      </c>
    </row>
    <row r="143" spans="1:12" collapsed="1" x14ac:dyDescent="0.35">
      <c r="A143" s="93"/>
      <c r="B143" s="182" t="s">
        <v>897</v>
      </c>
      <c r="C143" s="26"/>
      <c r="D143" s="83">
        <f>SUM(D144:D145)</f>
        <v>0</v>
      </c>
      <c r="E143" s="63">
        <f t="shared" ref="E143:G143" si="31">SUM(E144:E145)</f>
        <v>0</v>
      </c>
      <c r="F143" s="83">
        <f t="shared" si="31"/>
        <v>0</v>
      </c>
      <c r="G143" s="63">
        <f t="shared" si="31"/>
        <v>0</v>
      </c>
      <c r="H143" s="83">
        <f>SUM(H144:H145)</f>
        <v>0</v>
      </c>
      <c r="I143" s="83">
        <f>SUM(I144:I145)</f>
        <v>0</v>
      </c>
      <c r="J143" s="71"/>
      <c r="K143" s="84">
        <f t="shared" si="28"/>
        <v>0</v>
      </c>
      <c r="L143" s="67">
        <f t="shared" si="29"/>
        <v>0</v>
      </c>
    </row>
    <row r="144" spans="1:12" hidden="1" outlineLevel="1" x14ac:dyDescent="0.35">
      <c r="A144" s="93" t="s">
        <v>243</v>
      </c>
      <c r="B144" s="182" t="s">
        <v>244</v>
      </c>
      <c r="C144" s="26" t="s">
        <v>897</v>
      </c>
      <c r="D144" s="83"/>
      <c r="E144" s="63"/>
      <c r="F144" s="83"/>
      <c r="G144" s="64"/>
      <c r="H144" s="85"/>
      <c r="I144" s="85"/>
      <c r="J144" s="71"/>
      <c r="K144" s="84">
        <f t="shared" si="28"/>
        <v>0</v>
      </c>
      <c r="L144" s="67">
        <f t="shared" si="29"/>
        <v>0</v>
      </c>
    </row>
    <row r="145" spans="1:12" hidden="1" outlineLevel="1" x14ac:dyDescent="0.35">
      <c r="A145" s="93" t="s">
        <v>245</v>
      </c>
      <c r="B145" s="182" t="s">
        <v>246</v>
      </c>
      <c r="C145" s="26" t="s">
        <v>897</v>
      </c>
      <c r="D145" s="83"/>
      <c r="E145" s="63"/>
      <c r="F145" s="83"/>
      <c r="G145" s="64"/>
      <c r="H145" s="85"/>
      <c r="I145" s="85"/>
      <c r="J145" s="71"/>
      <c r="K145" s="84">
        <f t="shared" si="28"/>
        <v>0</v>
      </c>
      <c r="L145" s="67">
        <f t="shared" si="29"/>
        <v>0</v>
      </c>
    </row>
    <row r="146" spans="1:12" collapsed="1" x14ac:dyDescent="0.35">
      <c r="A146" s="93" t="s">
        <v>247</v>
      </c>
      <c r="B146" s="182" t="s">
        <v>248</v>
      </c>
      <c r="C146" s="26" t="s">
        <v>248</v>
      </c>
      <c r="D146" s="83"/>
      <c r="E146" s="63">
        <v>3781</v>
      </c>
      <c r="F146" s="83">
        <v>145994</v>
      </c>
      <c r="G146" s="64">
        <v>62475</v>
      </c>
      <c r="H146" s="85">
        <v>111200</v>
      </c>
      <c r="I146" s="85">
        <v>8074</v>
      </c>
      <c r="J146" s="71"/>
      <c r="K146" s="84">
        <f t="shared" si="28"/>
        <v>8074</v>
      </c>
      <c r="L146" s="67">
        <f t="shared" si="29"/>
        <v>331524</v>
      </c>
    </row>
    <row r="147" spans="1:12" collapsed="1" x14ac:dyDescent="0.35">
      <c r="A147" s="93"/>
      <c r="B147" s="182" t="s">
        <v>868</v>
      </c>
      <c r="C147" s="26"/>
      <c r="D147" s="83">
        <f>SUM(D148:D150)</f>
        <v>0</v>
      </c>
      <c r="E147" s="63">
        <f t="shared" ref="E147:G147" si="32">SUM(E148:E150)</f>
        <v>0</v>
      </c>
      <c r="F147" s="83">
        <f t="shared" si="32"/>
        <v>0</v>
      </c>
      <c r="G147" s="63">
        <f t="shared" si="32"/>
        <v>0</v>
      </c>
      <c r="H147" s="83">
        <f>SUM(H148:H150)</f>
        <v>0</v>
      </c>
      <c r="I147" s="83">
        <f>SUM(I148:I150)</f>
        <v>0</v>
      </c>
      <c r="J147" s="71"/>
      <c r="K147" s="84">
        <f t="shared" si="28"/>
        <v>0</v>
      </c>
      <c r="L147" s="67">
        <f t="shared" si="29"/>
        <v>0</v>
      </c>
    </row>
    <row r="148" spans="1:12" hidden="1" outlineLevel="1" x14ac:dyDescent="0.35">
      <c r="A148" s="93" t="s">
        <v>249</v>
      </c>
      <c r="B148" s="182" t="s">
        <v>250</v>
      </c>
      <c r="C148" s="26" t="s">
        <v>868</v>
      </c>
      <c r="D148" s="83"/>
      <c r="E148" s="63"/>
      <c r="F148" s="83"/>
      <c r="G148" s="64"/>
      <c r="H148" s="83"/>
      <c r="I148" s="83"/>
      <c r="J148" s="71"/>
      <c r="K148" s="84">
        <f t="shared" si="28"/>
        <v>0</v>
      </c>
      <c r="L148" s="67">
        <f t="shared" si="29"/>
        <v>0</v>
      </c>
    </row>
    <row r="149" spans="1:12" hidden="1" outlineLevel="1" x14ac:dyDescent="0.35">
      <c r="A149" s="93" t="s">
        <v>251</v>
      </c>
      <c r="B149" s="182" t="s">
        <v>252</v>
      </c>
      <c r="C149" s="26" t="s">
        <v>868</v>
      </c>
      <c r="D149" s="83"/>
      <c r="E149" s="63"/>
      <c r="F149" s="83"/>
      <c r="G149" s="64"/>
      <c r="H149" s="83"/>
      <c r="I149" s="83"/>
      <c r="J149" s="71"/>
      <c r="K149" s="84">
        <f t="shared" si="28"/>
        <v>0</v>
      </c>
      <c r="L149" s="67">
        <f t="shared" si="29"/>
        <v>0</v>
      </c>
    </row>
    <row r="150" spans="1:12" hidden="1" outlineLevel="1" x14ac:dyDescent="0.35">
      <c r="A150" s="93" t="s">
        <v>253</v>
      </c>
      <c r="B150" s="182" t="s">
        <v>254</v>
      </c>
      <c r="C150" s="26" t="s">
        <v>868</v>
      </c>
      <c r="D150" s="83"/>
      <c r="E150" s="63"/>
      <c r="F150" s="83"/>
      <c r="G150" s="64"/>
      <c r="H150" s="83"/>
      <c r="I150" s="83"/>
      <c r="J150" s="71"/>
      <c r="K150" s="84">
        <f t="shared" si="28"/>
        <v>0</v>
      </c>
      <c r="L150" s="67">
        <f t="shared" si="29"/>
        <v>0</v>
      </c>
    </row>
    <row r="151" spans="1:12" collapsed="1" x14ac:dyDescent="0.35">
      <c r="A151" s="93"/>
      <c r="B151" s="182" t="s">
        <v>899</v>
      </c>
      <c r="C151" s="26"/>
      <c r="D151" s="83">
        <f>SUM(D152:D171)</f>
        <v>0</v>
      </c>
      <c r="E151" s="63">
        <f t="shared" ref="E151:G151" si="33">SUM(E152:E171)</f>
        <v>0</v>
      </c>
      <c r="F151" s="83">
        <f t="shared" si="33"/>
        <v>88367</v>
      </c>
      <c r="G151" s="63">
        <f t="shared" si="33"/>
        <v>42026</v>
      </c>
      <c r="H151" s="83">
        <f>SUM(H152:H171)</f>
        <v>56937</v>
      </c>
      <c r="I151" s="83">
        <f>SUM(I152:I171)</f>
        <v>23995</v>
      </c>
      <c r="J151" s="71"/>
      <c r="K151" s="84">
        <f t="shared" si="28"/>
        <v>23995</v>
      </c>
      <c r="L151" s="67">
        <f t="shared" si="29"/>
        <v>211325</v>
      </c>
    </row>
    <row r="152" spans="1:12" hidden="1" outlineLevel="1" x14ac:dyDescent="0.35">
      <c r="A152" s="93" t="s">
        <v>255</v>
      </c>
      <c r="B152" s="182" t="s">
        <v>256</v>
      </c>
      <c r="C152" s="26" t="s">
        <v>899</v>
      </c>
      <c r="D152" s="83"/>
      <c r="E152" s="63"/>
      <c r="F152" s="83">
        <v>55324</v>
      </c>
      <c r="G152" s="64">
        <v>33778</v>
      </c>
      <c r="H152" s="83">
        <v>26757</v>
      </c>
      <c r="I152" s="83">
        <v>17009</v>
      </c>
      <c r="J152" s="71"/>
      <c r="K152" s="84">
        <f t="shared" si="28"/>
        <v>17009</v>
      </c>
      <c r="L152" s="67">
        <f t="shared" si="29"/>
        <v>132868</v>
      </c>
    </row>
    <row r="153" spans="1:12" hidden="1" outlineLevel="1" x14ac:dyDescent="0.35">
      <c r="A153" s="93" t="s">
        <v>257</v>
      </c>
      <c r="B153" s="182" t="s">
        <v>900</v>
      </c>
      <c r="C153" s="26" t="s">
        <v>899</v>
      </c>
      <c r="D153" s="83"/>
      <c r="E153" s="63"/>
      <c r="F153" s="83"/>
      <c r="G153" s="64"/>
      <c r="H153" s="83"/>
      <c r="I153" s="83"/>
      <c r="J153" s="71"/>
      <c r="K153" s="84">
        <f t="shared" si="28"/>
        <v>0</v>
      </c>
      <c r="L153" s="67">
        <f t="shared" si="29"/>
        <v>0</v>
      </c>
    </row>
    <row r="154" spans="1:12" hidden="1" outlineLevel="1" x14ac:dyDescent="0.35">
      <c r="A154" s="93" t="s">
        <v>259</v>
      </c>
      <c r="B154" s="182" t="s">
        <v>260</v>
      </c>
      <c r="C154" s="26" t="s">
        <v>899</v>
      </c>
      <c r="D154" s="83"/>
      <c r="E154" s="63"/>
      <c r="F154" s="83"/>
      <c r="G154" s="64"/>
      <c r="H154" s="83"/>
      <c r="I154" s="83"/>
      <c r="J154" s="71"/>
      <c r="K154" s="84">
        <f t="shared" si="28"/>
        <v>0</v>
      </c>
      <c r="L154" s="67">
        <f t="shared" si="29"/>
        <v>0</v>
      </c>
    </row>
    <row r="155" spans="1:12" hidden="1" outlineLevel="1" x14ac:dyDescent="0.35">
      <c r="A155" s="93" t="s">
        <v>261</v>
      </c>
      <c r="B155" s="182" t="s">
        <v>262</v>
      </c>
      <c r="C155" s="26" t="s">
        <v>899</v>
      </c>
      <c r="D155" s="83"/>
      <c r="E155" s="63"/>
      <c r="F155" s="83"/>
      <c r="G155" s="64"/>
      <c r="H155" s="83"/>
      <c r="I155" s="83"/>
      <c r="J155" s="71"/>
      <c r="K155" s="84">
        <f t="shared" si="28"/>
        <v>0</v>
      </c>
      <c r="L155" s="67">
        <f t="shared" si="29"/>
        <v>0</v>
      </c>
    </row>
    <row r="156" spans="1:12" hidden="1" outlineLevel="1" x14ac:dyDescent="0.35">
      <c r="A156" s="93" t="s">
        <v>263</v>
      </c>
      <c r="B156" s="182" t="s">
        <v>264</v>
      </c>
      <c r="C156" s="26" t="s">
        <v>899</v>
      </c>
      <c r="D156" s="83"/>
      <c r="E156" s="63"/>
      <c r="F156" s="83"/>
      <c r="G156" s="64"/>
      <c r="H156" s="83"/>
      <c r="I156" s="83"/>
      <c r="J156" s="71"/>
      <c r="K156" s="84">
        <f t="shared" si="28"/>
        <v>0</v>
      </c>
      <c r="L156" s="67">
        <f t="shared" si="29"/>
        <v>0</v>
      </c>
    </row>
    <row r="157" spans="1:12" hidden="1" outlineLevel="1" x14ac:dyDescent="0.35">
      <c r="A157" s="93" t="s">
        <v>265</v>
      </c>
      <c r="B157" s="182" t="s">
        <v>266</v>
      </c>
      <c r="C157" s="26" t="s">
        <v>899</v>
      </c>
      <c r="D157" s="83"/>
      <c r="E157" s="63"/>
      <c r="F157" s="83"/>
      <c r="G157" s="64"/>
      <c r="H157" s="83"/>
      <c r="I157" s="83"/>
      <c r="J157" s="71"/>
      <c r="K157" s="84">
        <f t="shared" si="28"/>
        <v>0</v>
      </c>
      <c r="L157" s="67">
        <f t="shared" si="29"/>
        <v>0</v>
      </c>
    </row>
    <row r="158" spans="1:12" hidden="1" outlineLevel="1" x14ac:dyDescent="0.35">
      <c r="A158" s="93" t="s">
        <v>267</v>
      </c>
      <c r="B158" s="182" t="s">
        <v>268</v>
      </c>
      <c r="C158" s="26" t="s">
        <v>899</v>
      </c>
      <c r="D158" s="83"/>
      <c r="E158" s="63"/>
      <c r="F158" s="83"/>
      <c r="G158" s="64"/>
      <c r="H158" s="83"/>
      <c r="I158" s="83"/>
      <c r="J158" s="71"/>
      <c r="K158" s="84">
        <f t="shared" si="28"/>
        <v>0</v>
      </c>
      <c r="L158" s="67">
        <f t="shared" si="29"/>
        <v>0</v>
      </c>
    </row>
    <row r="159" spans="1:12" hidden="1" outlineLevel="1" x14ac:dyDescent="0.35">
      <c r="A159" s="93" t="s">
        <v>269</v>
      </c>
      <c r="B159" s="182" t="s">
        <v>270</v>
      </c>
      <c r="C159" s="26" t="s">
        <v>899</v>
      </c>
      <c r="D159" s="83"/>
      <c r="E159" s="63"/>
      <c r="F159" s="83"/>
      <c r="G159" s="64"/>
      <c r="H159" s="83"/>
      <c r="I159" s="83"/>
      <c r="J159" s="71"/>
      <c r="K159" s="84">
        <f t="shared" si="28"/>
        <v>0</v>
      </c>
      <c r="L159" s="67">
        <f t="shared" si="29"/>
        <v>0</v>
      </c>
    </row>
    <row r="160" spans="1:12" hidden="1" outlineLevel="1" x14ac:dyDescent="0.35">
      <c r="A160" s="93" t="s">
        <v>271</v>
      </c>
      <c r="B160" s="182" t="s">
        <v>272</v>
      </c>
      <c r="C160" s="26" t="s">
        <v>899</v>
      </c>
      <c r="D160" s="83"/>
      <c r="E160" s="63"/>
      <c r="F160" s="83"/>
      <c r="G160" s="64"/>
      <c r="H160" s="83"/>
      <c r="I160" s="83"/>
      <c r="J160" s="71"/>
      <c r="K160" s="84">
        <f t="shared" si="28"/>
        <v>0</v>
      </c>
      <c r="L160" s="67">
        <f t="shared" si="29"/>
        <v>0</v>
      </c>
    </row>
    <row r="161" spans="1:12" hidden="1" outlineLevel="1" x14ac:dyDescent="0.35">
      <c r="A161" s="93" t="s">
        <v>273</v>
      </c>
      <c r="B161" s="182" t="s">
        <v>274</v>
      </c>
      <c r="C161" s="26" t="s">
        <v>899</v>
      </c>
      <c r="D161" s="83"/>
      <c r="E161" s="63"/>
      <c r="F161" s="83"/>
      <c r="G161" s="64"/>
      <c r="H161" s="83"/>
      <c r="I161" s="83"/>
      <c r="J161" s="71"/>
      <c r="K161" s="84">
        <f t="shared" si="28"/>
        <v>0</v>
      </c>
      <c r="L161" s="67">
        <f t="shared" si="29"/>
        <v>0</v>
      </c>
    </row>
    <row r="162" spans="1:12" hidden="1" outlineLevel="1" x14ac:dyDescent="0.35">
      <c r="A162" s="93" t="s">
        <v>275</v>
      </c>
      <c r="B162" s="182" t="s">
        <v>276</v>
      </c>
      <c r="C162" s="26" t="s">
        <v>899</v>
      </c>
      <c r="D162" s="83"/>
      <c r="E162" s="63"/>
      <c r="F162" s="83"/>
      <c r="G162" s="64"/>
      <c r="H162" s="83"/>
      <c r="I162" s="83"/>
      <c r="J162" s="71"/>
      <c r="K162" s="84">
        <f t="shared" si="28"/>
        <v>0</v>
      </c>
      <c r="L162" s="67">
        <f t="shared" si="29"/>
        <v>0</v>
      </c>
    </row>
    <row r="163" spans="1:12" hidden="1" outlineLevel="1" x14ac:dyDescent="0.35">
      <c r="A163" s="93" t="s">
        <v>277</v>
      </c>
      <c r="B163" s="182" t="s">
        <v>278</v>
      </c>
      <c r="C163" s="26" t="s">
        <v>899</v>
      </c>
      <c r="D163" s="83"/>
      <c r="E163" s="63"/>
      <c r="F163" s="83"/>
      <c r="G163" s="64"/>
      <c r="H163" s="83"/>
      <c r="I163" s="83"/>
      <c r="J163" s="71"/>
      <c r="K163" s="84">
        <f t="shared" si="28"/>
        <v>0</v>
      </c>
      <c r="L163" s="67">
        <f t="shared" si="29"/>
        <v>0</v>
      </c>
    </row>
    <row r="164" spans="1:12" hidden="1" outlineLevel="1" x14ac:dyDescent="0.35">
      <c r="A164" s="93" t="s">
        <v>279</v>
      </c>
      <c r="B164" s="182" t="s">
        <v>280</v>
      </c>
      <c r="C164" s="26" t="s">
        <v>899</v>
      </c>
      <c r="D164" s="83"/>
      <c r="E164" s="63"/>
      <c r="F164" s="83"/>
      <c r="G164" s="64"/>
      <c r="H164" s="83"/>
      <c r="I164" s="83"/>
      <c r="J164" s="71"/>
      <c r="K164" s="84">
        <f t="shared" si="28"/>
        <v>0</v>
      </c>
      <c r="L164" s="67">
        <f t="shared" si="29"/>
        <v>0</v>
      </c>
    </row>
    <row r="165" spans="1:12" hidden="1" outlineLevel="1" x14ac:dyDescent="0.35">
      <c r="A165" s="93" t="s">
        <v>281</v>
      </c>
      <c r="B165" s="182" t="s">
        <v>282</v>
      </c>
      <c r="C165" s="26" t="s">
        <v>899</v>
      </c>
      <c r="D165" s="83"/>
      <c r="E165" s="63"/>
      <c r="F165" s="83"/>
      <c r="G165" s="64"/>
      <c r="H165" s="83"/>
      <c r="I165" s="83"/>
      <c r="J165" s="71"/>
      <c r="K165" s="84">
        <f t="shared" si="28"/>
        <v>0</v>
      </c>
      <c r="L165" s="67">
        <f t="shared" si="29"/>
        <v>0</v>
      </c>
    </row>
    <row r="166" spans="1:12" hidden="1" outlineLevel="1" x14ac:dyDescent="0.35">
      <c r="A166" s="93" t="s">
        <v>283</v>
      </c>
      <c r="B166" s="182" t="s">
        <v>284</v>
      </c>
      <c r="C166" s="26" t="s">
        <v>899</v>
      </c>
      <c r="D166" s="83"/>
      <c r="E166" s="63"/>
      <c r="F166" s="83"/>
      <c r="G166" s="64"/>
      <c r="H166" s="83"/>
      <c r="I166" s="83"/>
      <c r="J166" s="71"/>
      <c r="K166" s="84">
        <f t="shared" si="28"/>
        <v>0</v>
      </c>
      <c r="L166" s="67">
        <f t="shared" si="29"/>
        <v>0</v>
      </c>
    </row>
    <row r="167" spans="1:12" hidden="1" outlineLevel="1" x14ac:dyDescent="0.35">
      <c r="A167" s="93" t="s">
        <v>285</v>
      </c>
      <c r="B167" s="182" t="s">
        <v>286</v>
      </c>
      <c r="C167" s="26" t="s">
        <v>899</v>
      </c>
      <c r="D167" s="83"/>
      <c r="E167" s="63"/>
      <c r="F167" s="83"/>
      <c r="G167" s="64">
        <v>-29258</v>
      </c>
      <c r="H167" s="83"/>
      <c r="I167" s="83"/>
      <c r="J167" s="71"/>
      <c r="K167" s="84">
        <f t="shared" si="28"/>
        <v>0</v>
      </c>
      <c r="L167" s="67">
        <f t="shared" si="29"/>
        <v>-29258</v>
      </c>
    </row>
    <row r="168" spans="1:12" hidden="1" outlineLevel="1" x14ac:dyDescent="0.35">
      <c r="A168" s="93" t="s">
        <v>287</v>
      </c>
      <c r="B168" s="182" t="s">
        <v>288</v>
      </c>
      <c r="C168" s="26" t="s">
        <v>899</v>
      </c>
      <c r="D168" s="83"/>
      <c r="E168" s="63"/>
      <c r="F168" s="83">
        <v>11523</v>
      </c>
      <c r="G168" s="64">
        <v>23304</v>
      </c>
      <c r="H168" s="83">
        <v>14316</v>
      </c>
      <c r="I168" s="83">
        <v>-158</v>
      </c>
      <c r="J168" s="71"/>
      <c r="K168" s="84">
        <f t="shared" si="28"/>
        <v>-158</v>
      </c>
      <c r="L168" s="67">
        <f t="shared" si="29"/>
        <v>48985</v>
      </c>
    </row>
    <row r="169" spans="1:12" hidden="1" outlineLevel="1" x14ac:dyDescent="0.35">
      <c r="A169" s="93" t="s">
        <v>289</v>
      </c>
      <c r="B169" s="182" t="s">
        <v>290</v>
      </c>
      <c r="C169" s="26" t="s">
        <v>899</v>
      </c>
      <c r="D169" s="83"/>
      <c r="E169" s="63"/>
      <c r="F169" s="83">
        <v>21520</v>
      </c>
      <c r="G169" s="64"/>
      <c r="I169" s="83"/>
      <c r="J169" s="71"/>
      <c r="K169" s="84">
        <f t="shared" si="28"/>
        <v>0</v>
      </c>
      <c r="L169" s="67">
        <f t="shared" si="29"/>
        <v>21520</v>
      </c>
    </row>
    <row r="170" spans="1:12" hidden="1" outlineLevel="1" x14ac:dyDescent="0.35">
      <c r="A170" s="93" t="s">
        <v>291</v>
      </c>
      <c r="B170" s="182" t="s">
        <v>292</v>
      </c>
      <c r="C170" s="26" t="s">
        <v>899</v>
      </c>
      <c r="D170" s="83"/>
      <c r="E170" s="63"/>
      <c r="F170" s="83"/>
      <c r="G170" s="64">
        <v>14202</v>
      </c>
      <c r="H170" s="83">
        <v>15864</v>
      </c>
      <c r="I170" s="83">
        <v>7144</v>
      </c>
      <c r="J170" s="71"/>
      <c r="K170" s="84">
        <f t="shared" si="28"/>
        <v>7144</v>
      </c>
      <c r="L170" s="67">
        <f t="shared" si="29"/>
        <v>37210</v>
      </c>
    </row>
    <row r="171" spans="1:12" hidden="1" outlineLevel="1" x14ac:dyDescent="0.35">
      <c r="A171" s="93" t="s">
        <v>293</v>
      </c>
      <c r="B171" s="182" t="s">
        <v>294</v>
      </c>
      <c r="C171" s="26" t="s">
        <v>899</v>
      </c>
      <c r="D171" s="83"/>
      <c r="E171" s="63"/>
      <c r="F171" s="83"/>
      <c r="G171" s="64"/>
      <c r="H171" s="83"/>
      <c r="I171" s="83"/>
      <c r="J171" s="71"/>
      <c r="K171" s="84">
        <f t="shared" si="28"/>
        <v>0</v>
      </c>
      <c r="L171" s="67">
        <f t="shared" si="29"/>
        <v>0</v>
      </c>
    </row>
    <row r="172" spans="1:12" ht="15" collapsed="1" thickBot="1" x14ac:dyDescent="0.4">
      <c r="A172" s="93"/>
      <c r="B172" s="182" t="s">
        <v>325</v>
      </c>
      <c r="C172" s="26"/>
      <c r="D172" s="83">
        <f>SUM(D173:D190)</f>
        <v>0</v>
      </c>
      <c r="E172" s="63">
        <f t="shared" ref="E172:G172" si="34">SUM(E173:E190)</f>
        <v>350000</v>
      </c>
      <c r="F172" s="83">
        <f t="shared" si="34"/>
        <v>1480592</v>
      </c>
      <c r="G172" s="63">
        <f t="shared" si="34"/>
        <v>1011810</v>
      </c>
      <c r="H172" s="83">
        <f>SUM(H173:H190)</f>
        <v>809933</v>
      </c>
      <c r="I172" s="83">
        <f>SUM(I173:I190)</f>
        <v>53177</v>
      </c>
      <c r="J172" s="71"/>
      <c r="K172" s="84">
        <f t="shared" si="28"/>
        <v>53177</v>
      </c>
      <c r="L172" s="67">
        <f t="shared" si="29"/>
        <v>3705512</v>
      </c>
    </row>
    <row r="173" spans="1:12" ht="15" hidden="1" outlineLevel="1" thickBot="1" x14ac:dyDescent="0.4">
      <c r="A173" s="93" t="s">
        <v>295</v>
      </c>
      <c r="B173" s="182" t="s">
        <v>296</v>
      </c>
      <c r="C173" s="26" t="s">
        <v>325</v>
      </c>
      <c r="D173" s="83"/>
      <c r="E173" s="63"/>
      <c r="F173" s="83">
        <v>36000</v>
      </c>
      <c r="G173" s="64"/>
      <c r="H173" s="85"/>
      <c r="I173" s="67"/>
      <c r="J173" s="71"/>
      <c r="K173" s="84">
        <f t="shared" si="28"/>
        <v>0</v>
      </c>
      <c r="L173" s="67">
        <f t="shared" si="29"/>
        <v>36000</v>
      </c>
    </row>
    <row r="174" spans="1:12" ht="15" hidden="1" outlineLevel="1" thickBot="1" x14ac:dyDescent="0.4">
      <c r="A174" s="93" t="s">
        <v>297</v>
      </c>
      <c r="B174" s="182" t="s">
        <v>298</v>
      </c>
      <c r="C174" s="26" t="s">
        <v>325</v>
      </c>
      <c r="D174" s="83"/>
      <c r="E174" s="63"/>
      <c r="F174" s="83"/>
      <c r="G174" s="64"/>
      <c r="H174" s="85"/>
      <c r="I174" s="67"/>
      <c r="J174" s="71"/>
      <c r="K174" s="84">
        <f t="shared" si="28"/>
        <v>0</v>
      </c>
      <c r="L174" s="67">
        <f t="shared" si="29"/>
        <v>0</v>
      </c>
    </row>
    <row r="175" spans="1:12" ht="15" hidden="1" outlineLevel="1" thickBot="1" x14ac:dyDescent="0.4">
      <c r="A175" s="93" t="s">
        <v>299</v>
      </c>
      <c r="B175" s="182" t="s">
        <v>232</v>
      </c>
      <c r="C175" s="26" t="s">
        <v>325</v>
      </c>
      <c r="D175" s="83"/>
      <c r="E175" s="63"/>
      <c r="F175" s="83"/>
      <c r="G175" s="64">
        <v>1345</v>
      </c>
      <c r="H175" s="85">
        <v>243</v>
      </c>
      <c r="I175" s="67">
        <v>2509</v>
      </c>
      <c r="J175" s="71"/>
      <c r="K175" s="84">
        <f t="shared" si="28"/>
        <v>2509</v>
      </c>
      <c r="L175" s="67">
        <f t="shared" si="29"/>
        <v>4097</v>
      </c>
    </row>
    <row r="176" spans="1:12" ht="15" hidden="1" outlineLevel="1" thickBot="1" x14ac:dyDescent="0.4">
      <c r="A176" s="93" t="s">
        <v>300</v>
      </c>
      <c r="B176" s="182" t="s">
        <v>234</v>
      </c>
      <c r="C176" s="26" t="s">
        <v>325</v>
      </c>
      <c r="D176" s="83"/>
      <c r="E176" s="63"/>
      <c r="F176" s="83"/>
      <c r="G176" s="64"/>
      <c r="H176" s="85"/>
      <c r="I176" s="67"/>
      <c r="J176" s="71"/>
      <c r="K176" s="84">
        <f t="shared" si="28"/>
        <v>0</v>
      </c>
      <c r="L176" s="67">
        <f t="shared" si="29"/>
        <v>0</v>
      </c>
    </row>
    <row r="177" spans="1:12" ht="15" hidden="1" outlineLevel="1" thickBot="1" x14ac:dyDescent="0.4">
      <c r="A177" s="93" t="s">
        <v>301</v>
      </c>
      <c r="B177" s="182" t="s">
        <v>302</v>
      </c>
      <c r="C177" s="26" t="s">
        <v>325</v>
      </c>
      <c r="D177" s="83"/>
      <c r="E177" s="63"/>
      <c r="F177" s="83">
        <v>-8000</v>
      </c>
      <c r="G177" s="64">
        <v>26840</v>
      </c>
      <c r="H177" s="85"/>
      <c r="I177" s="67"/>
      <c r="J177" s="71"/>
      <c r="K177" s="84">
        <f t="shared" si="28"/>
        <v>0</v>
      </c>
      <c r="L177" s="67">
        <f t="shared" si="29"/>
        <v>18840</v>
      </c>
    </row>
    <row r="178" spans="1:12" ht="15" hidden="1" outlineLevel="1" thickBot="1" x14ac:dyDescent="0.4">
      <c r="A178" s="93" t="s">
        <v>303</v>
      </c>
      <c r="B178" s="182" t="s">
        <v>304</v>
      </c>
      <c r="C178" s="26" t="s">
        <v>325</v>
      </c>
      <c r="D178" s="83"/>
      <c r="E178" s="63"/>
      <c r="F178" s="83">
        <v>152592</v>
      </c>
      <c r="G178" s="64">
        <v>100725</v>
      </c>
      <c r="H178" s="85">
        <v>81690</v>
      </c>
      <c r="I178" s="67">
        <v>50668</v>
      </c>
      <c r="J178" s="71"/>
      <c r="K178" s="84">
        <f t="shared" si="28"/>
        <v>50668</v>
      </c>
      <c r="L178" s="67">
        <f t="shared" si="29"/>
        <v>385675</v>
      </c>
    </row>
    <row r="179" spans="1:12" ht="15" hidden="1" outlineLevel="1" thickBot="1" x14ac:dyDescent="0.4">
      <c r="A179" s="93" t="s">
        <v>305</v>
      </c>
      <c r="B179" s="182" t="s">
        <v>306</v>
      </c>
      <c r="C179" s="26" t="s">
        <v>325</v>
      </c>
      <c r="D179" s="83"/>
      <c r="E179" s="63"/>
      <c r="F179" s="83"/>
      <c r="G179" s="64"/>
      <c r="H179" s="85"/>
      <c r="I179" s="67"/>
      <c r="J179" s="71"/>
      <c r="K179" s="84">
        <f t="shared" si="28"/>
        <v>0</v>
      </c>
      <c r="L179" s="67">
        <f t="shared" si="29"/>
        <v>0</v>
      </c>
    </row>
    <row r="180" spans="1:12" ht="15" hidden="1" outlineLevel="1" thickBot="1" x14ac:dyDescent="0.4">
      <c r="A180" s="93" t="s">
        <v>307</v>
      </c>
      <c r="B180" s="182" t="s">
        <v>308</v>
      </c>
      <c r="C180" s="26" t="s">
        <v>325</v>
      </c>
      <c r="D180" s="83"/>
      <c r="E180" s="63"/>
      <c r="F180" s="83"/>
      <c r="G180" s="64"/>
      <c r="H180" s="85"/>
      <c r="I180" s="67"/>
      <c r="J180" s="71"/>
      <c r="K180" s="84">
        <f t="shared" si="28"/>
        <v>0</v>
      </c>
      <c r="L180" s="67">
        <f t="shared" si="29"/>
        <v>0</v>
      </c>
    </row>
    <row r="181" spans="1:12" ht="15" hidden="1" outlineLevel="1" thickBot="1" x14ac:dyDescent="0.4">
      <c r="A181" s="93" t="s">
        <v>309</v>
      </c>
      <c r="B181" s="184" t="s">
        <v>310</v>
      </c>
      <c r="C181" s="26" t="s">
        <v>325</v>
      </c>
      <c r="D181" s="83"/>
      <c r="E181" s="63"/>
      <c r="F181" s="83"/>
      <c r="G181" s="64">
        <v>14400</v>
      </c>
      <c r="H181" s="85"/>
      <c r="I181" s="67"/>
      <c r="J181" s="71"/>
      <c r="K181" s="84">
        <f t="shared" si="28"/>
        <v>0</v>
      </c>
      <c r="L181" s="67">
        <f t="shared" si="29"/>
        <v>14400</v>
      </c>
    </row>
    <row r="182" spans="1:12" ht="15" hidden="1" outlineLevel="1" thickBot="1" x14ac:dyDescent="0.4">
      <c r="A182" s="93" t="s">
        <v>311</v>
      </c>
      <c r="B182" s="182" t="s">
        <v>312</v>
      </c>
      <c r="C182" s="26" t="s">
        <v>325</v>
      </c>
      <c r="D182" s="83"/>
      <c r="E182" s="63">
        <v>350000</v>
      </c>
      <c r="F182" s="83">
        <v>1300000</v>
      </c>
      <c r="G182" s="64">
        <v>700000</v>
      </c>
      <c r="H182" s="85">
        <v>728000</v>
      </c>
      <c r="I182" s="67"/>
      <c r="J182" s="71"/>
      <c r="K182" s="84">
        <f t="shared" si="28"/>
        <v>0</v>
      </c>
      <c r="L182" s="67">
        <f t="shared" si="29"/>
        <v>3078000</v>
      </c>
    </row>
    <row r="183" spans="1:12" ht="15" hidden="1" outlineLevel="1" thickBot="1" x14ac:dyDescent="0.4">
      <c r="A183" s="93" t="s">
        <v>313</v>
      </c>
      <c r="B183" s="182" t="s">
        <v>901</v>
      </c>
      <c r="C183" s="26" t="s">
        <v>325</v>
      </c>
      <c r="D183" s="83"/>
      <c r="E183" s="63"/>
      <c r="F183" s="83"/>
      <c r="G183" s="64"/>
      <c r="H183" s="85"/>
      <c r="I183" s="67"/>
      <c r="J183" s="71"/>
      <c r="K183" s="84">
        <f t="shared" si="28"/>
        <v>0</v>
      </c>
      <c r="L183" s="67">
        <f t="shared" si="29"/>
        <v>0</v>
      </c>
    </row>
    <row r="184" spans="1:12" ht="15" hidden="1" outlineLevel="1" thickBot="1" x14ac:dyDescent="0.4">
      <c r="A184" s="93" t="s">
        <v>314</v>
      </c>
      <c r="B184" s="182" t="s">
        <v>315</v>
      </c>
      <c r="C184" s="26" t="s">
        <v>325</v>
      </c>
      <c r="D184" s="83"/>
      <c r="E184" s="63"/>
      <c r="F184" s="83"/>
      <c r="G184" s="64"/>
      <c r="H184" s="85"/>
      <c r="I184" s="67"/>
      <c r="J184" s="71"/>
      <c r="K184" s="84">
        <f t="shared" si="28"/>
        <v>0</v>
      </c>
      <c r="L184" s="67">
        <f t="shared" si="29"/>
        <v>0</v>
      </c>
    </row>
    <row r="185" spans="1:12" ht="15" hidden="1" outlineLevel="1" thickBot="1" x14ac:dyDescent="0.4">
      <c r="A185" s="93" t="s">
        <v>316</v>
      </c>
      <c r="B185" s="182" t="s">
        <v>317</v>
      </c>
      <c r="C185" s="26" t="s">
        <v>325</v>
      </c>
      <c r="D185" s="83"/>
      <c r="E185" s="63"/>
      <c r="F185" s="83"/>
      <c r="G185" s="64"/>
      <c r="H185" s="85"/>
      <c r="I185" s="67"/>
      <c r="J185" s="71"/>
      <c r="K185" s="84">
        <f t="shared" si="28"/>
        <v>0</v>
      </c>
      <c r="L185" s="67">
        <f t="shared" si="29"/>
        <v>0</v>
      </c>
    </row>
    <row r="186" spans="1:12" ht="15" hidden="1" outlineLevel="1" thickBot="1" x14ac:dyDescent="0.4">
      <c r="A186" s="93" t="s">
        <v>318</v>
      </c>
      <c r="B186" s="182" t="s">
        <v>319</v>
      </c>
      <c r="C186" s="26" t="s">
        <v>325</v>
      </c>
      <c r="D186" s="83"/>
      <c r="E186" s="63"/>
      <c r="F186" s="83"/>
      <c r="G186" s="64"/>
      <c r="H186" s="85"/>
      <c r="I186" s="67"/>
      <c r="J186" s="71"/>
      <c r="K186" s="84">
        <f t="shared" si="28"/>
        <v>0</v>
      </c>
      <c r="L186" s="67">
        <f t="shared" si="29"/>
        <v>0</v>
      </c>
    </row>
    <row r="187" spans="1:12" ht="15" hidden="1" outlineLevel="1" thickBot="1" x14ac:dyDescent="0.4">
      <c r="A187" s="93" t="s">
        <v>320</v>
      </c>
      <c r="B187" s="182" t="s">
        <v>321</v>
      </c>
      <c r="C187" s="26" t="s">
        <v>325</v>
      </c>
      <c r="D187" s="83"/>
      <c r="E187" s="63"/>
      <c r="F187" s="83"/>
      <c r="G187" s="64"/>
      <c r="H187" s="85"/>
      <c r="I187" s="67"/>
      <c r="J187" s="71"/>
      <c r="K187" s="84">
        <f t="shared" si="28"/>
        <v>0</v>
      </c>
      <c r="L187" s="67">
        <f t="shared" si="29"/>
        <v>0</v>
      </c>
    </row>
    <row r="188" spans="1:12" ht="15" hidden="1" outlineLevel="1" thickBot="1" x14ac:dyDescent="0.4">
      <c r="A188" s="93" t="s">
        <v>322</v>
      </c>
      <c r="B188" s="182" t="s">
        <v>323</v>
      </c>
      <c r="C188" s="26" t="s">
        <v>325</v>
      </c>
      <c r="D188" s="83"/>
      <c r="E188" s="63"/>
      <c r="F188" s="83"/>
      <c r="G188" s="64"/>
      <c r="H188" s="85"/>
      <c r="I188" s="67"/>
      <c r="J188" s="71"/>
      <c r="K188" s="84">
        <f t="shared" si="28"/>
        <v>0</v>
      </c>
      <c r="L188" s="67">
        <f t="shared" si="29"/>
        <v>0</v>
      </c>
    </row>
    <row r="189" spans="1:12" ht="15" hidden="1" outlineLevel="1" thickBot="1" x14ac:dyDescent="0.4">
      <c r="A189" s="93" t="s">
        <v>324</v>
      </c>
      <c r="B189" s="182" t="s">
        <v>325</v>
      </c>
      <c r="C189" s="26" t="s">
        <v>325</v>
      </c>
      <c r="D189" s="83"/>
      <c r="E189" s="63"/>
      <c r="F189" s="83"/>
      <c r="G189" s="64">
        <v>168500</v>
      </c>
      <c r="H189" s="85"/>
      <c r="I189" s="67"/>
      <c r="J189" s="71"/>
      <c r="K189" s="84">
        <f t="shared" si="28"/>
        <v>0</v>
      </c>
      <c r="L189" s="67">
        <f t="shared" si="29"/>
        <v>168500</v>
      </c>
    </row>
    <row r="190" spans="1:12" ht="15" hidden="1" outlineLevel="1" thickBot="1" x14ac:dyDescent="0.4">
      <c r="A190" s="93" t="s">
        <v>326</v>
      </c>
      <c r="B190" s="182" t="s">
        <v>327</v>
      </c>
      <c r="C190" s="26" t="s">
        <v>325</v>
      </c>
      <c r="D190" s="83"/>
      <c r="E190" s="63"/>
      <c r="F190" s="83"/>
      <c r="G190" s="64"/>
      <c r="H190" s="85"/>
      <c r="I190" s="67"/>
      <c r="J190" s="71"/>
      <c r="K190" s="84">
        <f t="shared" si="28"/>
        <v>0</v>
      </c>
      <c r="L190" s="67">
        <f t="shared" si="29"/>
        <v>0</v>
      </c>
    </row>
    <row r="191" spans="1:12" ht="15" collapsed="1" thickBot="1" x14ac:dyDescent="0.4">
      <c r="A191" s="100"/>
      <c r="B191" s="187" t="s">
        <v>1285</v>
      </c>
      <c r="C191" s="34"/>
      <c r="D191" s="86">
        <f>SUM(D124:D172)</f>
        <v>0</v>
      </c>
      <c r="E191" s="51">
        <f>E124+E146+E172</f>
        <v>5499334</v>
      </c>
      <c r="F191" s="86">
        <f>F127+F146+F151+F172</f>
        <v>6391167</v>
      </c>
      <c r="G191" s="51">
        <f>G124+G127+G146+G151+G172</f>
        <v>6892789</v>
      </c>
      <c r="H191" s="86">
        <f>H127+H146+H151+H172</f>
        <v>4596660</v>
      </c>
      <c r="I191" s="86">
        <f>I127+I146+I151+I172</f>
        <v>882129</v>
      </c>
      <c r="J191" s="141"/>
      <c r="K191" s="142">
        <f t="shared" si="28"/>
        <v>882129</v>
      </c>
      <c r="L191" s="113">
        <f t="shared" si="29"/>
        <v>24262079</v>
      </c>
    </row>
    <row r="192" spans="1:12" x14ac:dyDescent="0.35">
      <c r="A192" s="101"/>
      <c r="B192" s="188"/>
      <c r="C192" s="35"/>
      <c r="D192" s="87"/>
      <c r="E192" s="73"/>
      <c r="F192" s="87"/>
      <c r="G192" s="73"/>
      <c r="H192" s="87"/>
      <c r="I192" s="67"/>
      <c r="J192" s="71"/>
      <c r="K192" s="84">
        <f t="shared" ref="K192:K255" si="35">J192+I192</f>
        <v>0</v>
      </c>
      <c r="L192" s="67">
        <f t="shared" ref="L192:L255" si="36">K192+D192+E192+F192+G192+H192</f>
        <v>0</v>
      </c>
    </row>
    <row r="193" spans="1:12" x14ac:dyDescent="0.35">
      <c r="A193" s="101"/>
      <c r="B193" s="188"/>
      <c r="C193" s="35"/>
      <c r="D193" s="87"/>
      <c r="E193" s="73"/>
      <c r="F193" s="87"/>
      <c r="G193" s="73"/>
      <c r="H193" s="87"/>
      <c r="I193" s="67"/>
      <c r="J193" s="71"/>
      <c r="K193" s="84">
        <f t="shared" si="35"/>
        <v>0</v>
      </c>
      <c r="L193" s="67">
        <f t="shared" si="36"/>
        <v>0</v>
      </c>
    </row>
    <row r="194" spans="1:12" collapsed="1" x14ac:dyDescent="0.35">
      <c r="A194" s="93"/>
      <c r="B194" s="182" t="s">
        <v>903</v>
      </c>
      <c r="C194" s="26"/>
      <c r="D194" s="83">
        <f>SUM(D195:D255)</f>
        <v>85609</v>
      </c>
      <c r="E194" s="63">
        <f t="shared" ref="E194:I194" si="37">SUM(E195:E255)</f>
        <v>269800</v>
      </c>
      <c r="F194" s="83">
        <f t="shared" si="37"/>
        <v>761995</v>
      </c>
      <c r="G194" s="63">
        <f>SUM(G195:G255)</f>
        <v>-225528</v>
      </c>
      <c r="H194" s="83">
        <f t="shared" si="37"/>
        <v>624602</v>
      </c>
      <c r="I194" s="83">
        <f t="shared" si="37"/>
        <v>127318</v>
      </c>
      <c r="J194" s="71"/>
      <c r="K194" s="84">
        <f t="shared" si="35"/>
        <v>127318</v>
      </c>
      <c r="L194" s="67">
        <f t="shared" si="36"/>
        <v>1643796</v>
      </c>
    </row>
    <row r="195" spans="1:12" hidden="1" outlineLevel="1" x14ac:dyDescent="0.35">
      <c r="A195" s="93" t="s">
        <v>328</v>
      </c>
      <c r="B195" s="182" t="s">
        <v>329</v>
      </c>
      <c r="C195" s="26" t="s">
        <v>903</v>
      </c>
      <c r="D195" s="83"/>
      <c r="E195" s="63"/>
      <c r="F195" s="83"/>
      <c r="G195" s="64">
        <v>874</v>
      </c>
      <c r="H195" s="85"/>
      <c r="I195" s="67"/>
      <c r="J195" s="71"/>
      <c r="K195" s="84">
        <f t="shared" si="35"/>
        <v>0</v>
      </c>
      <c r="L195" s="67">
        <f t="shared" si="36"/>
        <v>874</v>
      </c>
    </row>
    <row r="196" spans="1:12" hidden="1" outlineLevel="1" x14ac:dyDescent="0.35">
      <c r="A196" s="93" t="s">
        <v>330</v>
      </c>
      <c r="B196" s="182" t="s">
        <v>331</v>
      </c>
      <c r="C196" s="26" t="s">
        <v>903</v>
      </c>
      <c r="D196" s="83"/>
      <c r="E196" s="63"/>
      <c r="F196" s="83">
        <v>40592</v>
      </c>
      <c r="G196" s="64">
        <v>5192</v>
      </c>
      <c r="H196" s="85"/>
      <c r="I196" s="67"/>
      <c r="J196" s="71"/>
      <c r="K196" s="84">
        <f t="shared" si="35"/>
        <v>0</v>
      </c>
      <c r="L196" s="67">
        <f t="shared" si="36"/>
        <v>45784</v>
      </c>
    </row>
    <row r="197" spans="1:12" hidden="1" outlineLevel="1" x14ac:dyDescent="0.35">
      <c r="A197" s="93" t="s">
        <v>332</v>
      </c>
      <c r="B197" s="182" t="s">
        <v>333</v>
      </c>
      <c r="C197" s="26" t="s">
        <v>903</v>
      </c>
      <c r="D197" s="85">
        <v>42013</v>
      </c>
      <c r="E197" s="63"/>
      <c r="F197" s="83"/>
      <c r="G197" s="64">
        <v>3050</v>
      </c>
      <c r="H197" s="85">
        <v>72883</v>
      </c>
      <c r="I197" s="67"/>
      <c r="J197" s="71"/>
      <c r="K197" s="84">
        <f t="shared" si="35"/>
        <v>0</v>
      </c>
      <c r="L197" s="67">
        <f t="shared" si="36"/>
        <v>117946</v>
      </c>
    </row>
    <row r="198" spans="1:12" hidden="1" outlineLevel="1" x14ac:dyDescent="0.35">
      <c r="A198" s="93" t="s">
        <v>334</v>
      </c>
      <c r="B198" s="182" t="s">
        <v>335</v>
      </c>
      <c r="C198" s="26" t="s">
        <v>903</v>
      </c>
      <c r="D198" s="85"/>
      <c r="E198" s="63"/>
      <c r="F198" s="83"/>
      <c r="G198" s="64"/>
      <c r="H198" s="85"/>
      <c r="I198" s="67"/>
      <c r="J198" s="71"/>
      <c r="K198" s="84">
        <f t="shared" si="35"/>
        <v>0</v>
      </c>
      <c r="L198" s="67">
        <f t="shared" si="36"/>
        <v>0</v>
      </c>
    </row>
    <row r="199" spans="1:12" hidden="1" outlineLevel="1" x14ac:dyDescent="0.35">
      <c r="A199" s="93" t="s">
        <v>336</v>
      </c>
      <c r="B199" s="182" t="s">
        <v>337</v>
      </c>
      <c r="C199" s="26" t="s">
        <v>903</v>
      </c>
      <c r="D199" s="85"/>
      <c r="E199" s="63"/>
      <c r="F199" s="83"/>
      <c r="G199" s="64"/>
      <c r="H199" s="85"/>
      <c r="I199" s="67"/>
      <c r="J199" s="71"/>
      <c r="K199" s="84">
        <f t="shared" si="35"/>
        <v>0</v>
      </c>
      <c r="L199" s="67">
        <f t="shared" si="36"/>
        <v>0</v>
      </c>
    </row>
    <row r="200" spans="1:12" hidden="1" outlineLevel="1" x14ac:dyDescent="0.35">
      <c r="A200" s="93" t="s">
        <v>338</v>
      </c>
      <c r="B200" s="182" t="s">
        <v>339</v>
      </c>
      <c r="C200" s="26" t="s">
        <v>903</v>
      </c>
      <c r="D200" s="85"/>
      <c r="E200" s="63"/>
      <c r="F200" s="83"/>
      <c r="G200" s="64"/>
      <c r="H200" s="85"/>
      <c r="I200" s="67"/>
      <c r="J200" s="71"/>
      <c r="K200" s="84">
        <f t="shared" si="35"/>
        <v>0</v>
      </c>
      <c r="L200" s="67">
        <f t="shared" si="36"/>
        <v>0</v>
      </c>
    </row>
    <row r="201" spans="1:12" hidden="1" outlineLevel="1" x14ac:dyDescent="0.35">
      <c r="A201" s="93" t="s">
        <v>340</v>
      </c>
      <c r="B201" s="182" t="s">
        <v>341</v>
      </c>
      <c r="C201" s="26" t="s">
        <v>903</v>
      </c>
      <c r="D201" s="85"/>
      <c r="E201" s="63"/>
      <c r="F201" s="83"/>
      <c r="G201" s="64"/>
      <c r="H201" s="85"/>
      <c r="I201" s="67"/>
      <c r="J201" s="71"/>
      <c r="K201" s="84">
        <f t="shared" si="35"/>
        <v>0</v>
      </c>
      <c r="L201" s="67">
        <f t="shared" si="36"/>
        <v>0</v>
      </c>
    </row>
    <row r="202" spans="1:12" hidden="1" outlineLevel="1" x14ac:dyDescent="0.35">
      <c r="A202" s="93" t="s">
        <v>342</v>
      </c>
      <c r="B202" s="182" t="s">
        <v>343</v>
      </c>
      <c r="C202" s="26" t="s">
        <v>903</v>
      </c>
      <c r="D202" s="85"/>
      <c r="E202" s="63"/>
      <c r="F202" s="83"/>
      <c r="G202" s="64"/>
      <c r="H202" s="85"/>
      <c r="I202" s="67"/>
      <c r="J202" s="71"/>
      <c r="K202" s="84">
        <f t="shared" si="35"/>
        <v>0</v>
      </c>
      <c r="L202" s="67">
        <f t="shared" si="36"/>
        <v>0</v>
      </c>
    </row>
    <row r="203" spans="1:12" hidden="1" outlineLevel="1" x14ac:dyDescent="0.35">
      <c r="A203" s="93" t="s">
        <v>344</v>
      </c>
      <c r="B203" s="182" t="s">
        <v>345</v>
      </c>
      <c r="C203" s="26" t="s">
        <v>903</v>
      </c>
      <c r="D203" s="85"/>
      <c r="E203" s="63"/>
      <c r="F203" s="83"/>
      <c r="G203" s="64"/>
      <c r="H203" s="85"/>
      <c r="I203" s="67"/>
      <c r="J203" s="71"/>
      <c r="K203" s="84">
        <f t="shared" si="35"/>
        <v>0</v>
      </c>
      <c r="L203" s="67">
        <f t="shared" si="36"/>
        <v>0</v>
      </c>
    </row>
    <row r="204" spans="1:12" hidden="1" outlineLevel="1" x14ac:dyDescent="0.35">
      <c r="A204" s="93" t="s">
        <v>346</v>
      </c>
      <c r="B204" s="182" t="s">
        <v>347</v>
      </c>
      <c r="C204" s="26" t="s">
        <v>903</v>
      </c>
      <c r="D204" s="85"/>
      <c r="E204" s="63"/>
      <c r="F204" s="83"/>
      <c r="G204" s="64"/>
      <c r="H204" s="85"/>
      <c r="I204" s="67"/>
      <c r="J204" s="71"/>
      <c r="K204" s="84">
        <f t="shared" si="35"/>
        <v>0</v>
      </c>
      <c r="L204" s="67">
        <f t="shared" si="36"/>
        <v>0</v>
      </c>
    </row>
    <row r="205" spans="1:12" hidden="1" outlineLevel="1" x14ac:dyDescent="0.35">
      <c r="A205" s="93" t="s">
        <v>348</v>
      </c>
      <c r="B205" s="182" t="s">
        <v>349</v>
      </c>
      <c r="C205" s="26" t="s">
        <v>903</v>
      </c>
      <c r="D205" s="85"/>
      <c r="E205" s="63"/>
      <c r="F205" s="83"/>
      <c r="G205" s="64"/>
      <c r="H205" s="85"/>
      <c r="I205" s="67"/>
      <c r="J205" s="71"/>
      <c r="K205" s="84">
        <f t="shared" si="35"/>
        <v>0</v>
      </c>
      <c r="L205" s="67">
        <f t="shared" si="36"/>
        <v>0</v>
      </c>
    </row>
    <row r="206" spans="1:12" hidden="1" outlineLevel="1" x14ac:dyDescent="0.35">
      <c r="A206" s="93" t="s">
        <v>350</v>
      </c>
      <c r="B206" s="182" t="s">
        <v>351</v>
      </c>
      <c r="C206" s="26" t="s">
        <v>903</v>
      </c>
      <c r="D206" s="85"/>
      <c r="E206" s="63"/>
      <c r="F206" s="83"/>
      <c r="G206" s="64"/>
      <c r="H206" s="85"/>
      <c r="I206" s="67"/>
      <c r="J206" s="71"/>
      <c r="K206" s="84">
        <f t="shared" si="35"/>
        <v>0</v>
      </c>
      <c r="L206" s="67">
        <f t="shared" si="36"/>
        <v>0</v>
      </c>
    </row>
    <row r="207" spans="1:12" hidden="1" outlineLevel="1" x14ac:dyDescent="0.35">
      <c r="A207" s="93" t="s">
        <v>352</v>
      </c>
      <c r="B207" s="182" t="s">
        <v>353</v>
      </c>
      <c r="C207" s="26" t="s">
        <v>903</v>
      </c>
      <c r="D207" s="85"/>
      <c r="E207" s="63"/>
      <c r="F207" s="83"/>
      <c r="G207" s="64"/>
      <c r="H207" s="85"/>
      <c r="I207" s="67"/>
      <c r="J207" s="71"/>
      <c r="K207" s="84">
        <f t="shared" si="35"/>
        <v>0</v>
      </c>
      <c r="L207" s="67">
        <f t="shared" si="36"/>
        <v>0</v>
      </c>
    </row>
    <row r="208" spans="1:12" hidden="1" outlineLevel="1" x14ac:dyDescent="0.35">
      <c r="A208" s="93" t="s">
        <v>354</v>
      </c>
      <c r="B208" s="182" t="s">
        <v>355</v>
      </c>
      <c r="C208" s="26" t="s">
        <v>903</v>
      </c>
      <c r="D208" s="85"/>
      <c r="E208" s="63"/>
      <c r="F208" s="83"/>
      <c r="G208" s="64"/>
      <c r="H208" s="85"/>
      <c r="I208" s="67"/>
      <c r="J208" s="71"/>
      <c r="K208" s="84">
        <f t="shared" si="35"/>
        <v>0</v>
      </c>
      <c r="L208" s="67">
        <f t="shared" si="36"/>
        <v>0</v>
      </c>
    </row>
    <row r="209" spans="1:12" hidden="1" outlineLevel="1" x14ac:dyDescent="0.35">
      <c r="A209" s="93" t="s">
        <v>356</v>
      </c>
      <c r="B209" s="182" t="s">
        <v>357</v>
      </c>
      <c r="C209" s="26" t="s">
        <v>903</v>
      </c>
      <c r="D209" s="85"/>
      <c r="E209" s="63"/>
      <c r="F209" s="83"/>
      <c r="G209" s="64"/>
      <c r="H209" s="85"/>
      <c r="I209" s="67"/>
      <c r="J209" s="71"/>
      <c r="K209" s="84">
        <f t="shared" si="35"/>
        <v>0</v>
      </c>
      <c r="L209" s="67">
        <f t="shared" si="36"/>
        <v>0</v>
      </c>
    </row>
    <row r="210" spans="1:12" hidden="1" outlineLevel="1" x14ac:dyDescent="0.35">
      <c r="A210" s="93" t="s">
        <v>358</v>
      </c>
      <c r="B210" s="182" t="s">
        <v>359</v>
      </c>
      <c r="C210" s="26" t="s">
        <v>903</v>
      </c>
      <c r="D210" s="85"/>
      <c r="E210" s="63"/>
      <c r="F210" s="83">
        <v>169068</v>
      </c>
      <c r="G210" s="64">
        <v>7500</v>
      </c>
      <c r="H210" s="85"/>
      <c r="I210" s="67"/>
      <c r="J210" s="71"/>
      <c r="K210" s="84">
        <f t="shared" si="35"/>
        <v>0</v>
      </c>
      <c r="L210" s="67">
        <f t="shared" si="36"/>
        <v>176568</v>
      </c>
    </row>
    <row r="211" spans="1:12" hidden="1" outlineLevel="1" x14ac:dyDescent="0.35">
      <c r="A211" s="93" t="s">
        <v>360</v>
      </c>
      <c r="B211" s="182" t="s">
        <v>361</v>
      </c>
      <c r="C211" s="26" t="s">
        <v>903</v>
      </c>
      <c r="D211" s="85"/>
      <c r="E211" s="63"/>
      <c r="F211" s="83"/>
      <c r="G211" s="64">
        <v>31850</v>
      </c>
      <c r="H211" s="85">
        <v>99782</v>
      </c>
      <c r="I211" s="67"/>
      <c r="J211" s="71"/>
      <c r="K211" s="84">
        <f t="shared" si="35"/>
        <v>0</v>
      </c>
      <c r="L211" s="67">
        <f t="shared" si="36"/>
        <v>131632</v>
      </c>
    </row>
    <row r="212" spans="1:12" hidden="1" outlineLevel="1" x14ac:dyDescent="0.35">
      <c r="A212" s="93" t="s">
        <v>362</v>
      </c>
      <c r="B212" s="182" t="s">
        <v>363</v>
      </c>
      <c r="C212" s="26" t="s">
        <v>903</v>
      </c>
      <c r="D212" s="85"/>
      <c r="E212" s="63"/>
      <c r="F212" s="83"/>
      <c r="G212" s="64">
        <v>700</v>
      </c>
      <c r="H212" s="85">
        <v>8700</v>
      </c>
      <c r="I212" s="67"/>
      <c r="J212" s="71"/>
      <c r="K212" s="84">
        <f t="shared" si="35"/>
        <v>0</v>
      </c>
      <c r="L212" s="67">
        <f t="shared" si="36"/>
        <v>9400</v>
      </c>
    </row>
    <row r="213" spans="1:12" hidden="1" outlineLevel="1" x14ac:dyDescent="0.35">
      <c r="A213" s="93" t="s">
        <v>364</v>
      </c>
      <c r="B213" s="182" t="s">
        <v>365</v>
      </c>
      <c r="C213" s="26" t="s">
        <v>903</v>
      </c>
      <c r="D213" s="85">
        <v>1500</v>
      </c>
      <c r="E213" s="63"/>
      <c r="F213" s="83"/>
      <c r="G213" s="64">
        <v>17140</v>
      </c>
      <c r="H213" s="85"/>
      <c r="I213" s="67"/>
      <c r="J213" s="71"/>
      <c r="K213" s="84">
        <f t="shared" si="35"/>
        <v>0</v>
      </c>
      <c r="L213" s="67">
        <f t="shared" si="36"/>
        <v>18640</v>
      </c>
    </row>
    <row r="214" spans="1:12" hidden="1" outlineLevel="1" x14ac:dyDescent="0.35">
      <c r="A214" s="93" t="s">
        <v>366</v>
      </c>
      <c r="B214" s="182" t="s">
        <v>367</v>
      </c>
      <c r="C214" s="26" t="s">
        <v>903</v>
      </c>
      <c r="D214" s="85"/>
      <c r="E214" s="63"/>
      <c r="F214" s="83"/>
      <c r="G214" s="64"/>
      <c r="H214" s="85"/>
      <c r="I214" s="67"/>
      <c r="J214" s="71"/>
      <c r="K214" s="84">
        <f t="shared" si="35"/>
        <v>0</v>
      </c>
      <c r="L214" s="67">
        <f t="shared" si="36"/>
        <v>0</v>
      </c>
    </row>
    <row r="215" spans="1:12" hidden="1" outlineLevel="1" x14ac:dyDescent="0.35">
      <c r="A215" s="93" t="s">
        <v>368</v>
      </c>
      <c r="B215" s="182" t="s">
        <v>906</v>
      </c>
      <c r="C215" s="26" t="s">
        <v>903</v>
      </c>
      <c r="D215" s="85"/>
      <c r="E215" s="63"/>
      <c r="F215" s="83"/>
      <c r="G215" s="64"/>
      <c r="H215" s="85"/>
      <c r="I215" s="67"/>
      <c r="J215" s="71"/>
      <c r="K215" s="84">
        <f t="shared" si="35"/>
        <v>0</v>
      </c>
      <c r="L215" s="67">
        <f t="shared" si="36"/>
        <v>0</v>
      </c>
    </row>
    <row r="216" spans="1:12" hidden="1" outlineLevel="1" x14ac:dyDescent="0.35">
      <c r="A216" s="93" t="s">
        <v>370</v>
      </c>
      <c r="B216" s="182" t="s">
        <v>371</v>
      </c>
      <c r="C216" s="26" t="s">
        <v>903</v>
      </c>
      <c r="D216" s="85"/>
      <c r="E216" s="63"/>
      <c r="F216" s="83"/>
      <c r="G216" s="64"/>
      <c r="H216" s="85"/>
      <c r="I216" s="67"/>
      <c r="J216" s="71"/>
      <c r="K216" s="84">
        <f t="shared" si="35"/>
        <v>0</v>
      </c>
      <c r="L216" s="67">
        <f t="shared" si="36"/>
        <v>0</v>
      </c>
    </row>
    <row r="217" spans="1:12" hidden="1" outlineLevel="1" x14ac:dyDescent="0.35">
      <c r="A217" s="93" t="s">
        <v>372</v>
      </c>
      <c r="B217" s="182" t="s">
        <v>373</v>
      </c>
      <c r="C217" s="26" t="s">
        <v>903</v>
      </c>
      <c r="D217" s="85"/>
      <c r="E217" s="63"/>
      <c r="F217" s="83">
        <v>167886</v>
      </c>
      <c r="G217" s="64"/>
      <c r="H217" s="85"/>
      <c r="I217" s="67"/>
      <c r="J217" s="71"/>
      <c r="K217" s="84">
        <f t="shared" si="35"/>
        <v>0</v>
      </c>
      <c r="L217" s="67">
        <f t="shared" si="36"/>
        <v>167886</v>
      </c>
    </row>
    <row r="218" spans="1:12" hidden="1" outlineLevel="1" x14ac:dyDescent="0.35">
      <c r="A218" s="93" t="s">
        <v>374</v>
      </c>
      <c r="B218" s="182" t="s">
        <v>907</v>
      </c>
      <c r="C218" s="26" t="s">
        <v>903</v>
      </c>
      <c r="D218" s="83"/>
      <c r="E218" s="63"/>
      <c r="F218" s="83"/>
      <c r="G218" s="64">
        <v>69378</v>
      </c>
      <c r="H218" s="85">
        <v>330847</v>
      </c>
      <c r="I218" s="67"/>
      <c r="J218" s="71"/>
      <c r="K218" s="84">
        <f t="shared" si="35"/>
        <v>0</v>
      </c>
      <c r="L218" s="67">
        <f t="shared" si="36"/>
        <v>400225</v>
      </c>
    </row>
    <row r="219" spans="1:12" hidden="1" outlineLevel="1" x14ac:dyDescent="0.35">
      <c r="A219" s="93" t="s">
        <v>375</v>
      </c>
      <c r="B219" s="182" t="s">
        <v>376</v>
      </c>
      <c r="C219" s="26" t="s">
        <v>903</v>
      </c>
      <c r="D219" s="85"/>
      <c r="E219" s="63"/>
      <c r="F219" s="83"/>
      <c r="G219" s="64"/>
      <c r="H219" s="85"/>
      <c r="I219" s="67"/>
      <c r="J219" s="71"/>
      <c r="K219" s="84">
        <f t="shared" si="35"/>
        <v>0</v>
      </c>
      <c r="L219" s="67">
        <f t="shared" si="36"/>
        <v>0</v>
      </c>
    </row>
    <row r="220" spans="1:12" hidden="1" outlineLevel="1" x14ac:dyDescent="0.35">
      <c r="A220" s="93" t="s">
        <v>377</v>
      </c>
      <c r="B220" s="182" t="s">
        <v>378</v>
      </c>
      <c r="C220" s="26" t="s">
        <v>903</v>
      </c>
      <c r="D220" s="83"/>
      <c r="E220" s="63"/>
      <c r="F220" s="83"/>
      <c r="G220" s="64"/>
      <c r="H220" s="85"/>
      <c r="I220" s="67"/>
      <c r="J220" s="71"/>
      <c r="K220" s="84">
        <f t="shared" si="35"/>
        <v>0</v>
      </c>
      <c r="L220" s="67">
        <f t="shared" si="36"/>
        <v>0</v>
      </c>
    </row>
    <row r="221" spans="1:12" hidden="1" outlineLevel="1" x14ac:dyDescent="0.35">
      <c r="A221" s="93" t="s">
        <v>379</v>
      </c>
      <c r="B221" s="182" t="s">
        <v>380</v>
      </c>
      <c r="C221" s="26" t="s">
        <v>903</v>
      </c>
      <c r="D221" s="85"/>
      <c r="E221" s="63"/>
      <c r="F221" s="83" t="s">
        <v>1283</v>
      </c>
      <c r="G221" s="64"/>
      <c r="H221" s="85"/>
      <c r="I221" s="67"/>
      <c r="J221" s="71"/>
      <c r="K221" s="84">
        <f t="shared" si="35"/>
        <v>0</v>
      </c>
      <c r="L221" s="67" t="e">
        <f t="shared" si="36"/>
        <v>#VALUE!</v>
      </c>
    </row>
    <row r="222" spans="1:12" hidden="1" outlineLevel="1" x14ac:dyDescent="0.35">
      <c r="A222" s="93" t="s">
        <v>381</v>
      </c>
      <c r="B222" s="182" t="s">
        <v>382</v>
      </c>
      <c r="C222" s="26" t="s">
        <v>903</v>
      </c>
      <c r="D222" s="85"/>
      <c r="E222" s="63"/>
      <c r="F222" s="83"/>
      <c r="G222" s="64"/>
      <c r="H222" s="85"/>
      <c r="I222" s="67"/>
      <c r="J222" s="71"/>
      <c r="K222" s="84">
        <f t="shared" si="35"/>
        <v>0</v>
      </c>
      <c r="L222" s="67">
        <f t="shared" si="36"/>
        <v>0</v>
      </c>
    </row>
    <row r="223" spans="1:12" hidden="1" outlineLevel="1" x14ac:dyDescent="0.35">
      <c r="A223" s="93" t="s">
        <v>383</v>
      </c>
      <c r="B223" s="182" t="s">
        <v>384</v>
      </c>
      <c r="C223" s="26" t="s">
        <v>903</v>
      </c>
      <c r="D223" s="85">
        <v>42096</v>
      </c>
      <c r="E223" s="63"/>
      <c r="F223" s="83"/>
      <c r="G223" s="64"/>
      <c r="H223" s="85"/>
      <c r="I223" s="67"/>
      <c r="J223" s="71"/>
      <c r="K223" s="84">
        <f t="shared" si="35"/>
        <v>0</v>
      </c>
      <c r="L223" s="67">
        <f t="shared" si="36"/>
        <v>42096</v>
      </c>
    </row>
    <row r="224" spans="1:12" hidden="1" outlineLevel="1" x14ac:dyDescent="0.35">
      <c r="A224" s="93" t="s">
        <v>385</v>
      </c>
      <c r="B224" s="182" t="s">
        <v>386</v>
      </c>
      <c r="C224" s="26" t="s">
        <v>903</v>
      </c>
      <c r="D224" s="85"/>
      <c r="E224" s="63"/>
      <c r="F224" s="83"/>
      <c r="G224" s="64"/>
      <c r="H224" s="85"/>
      <c r="I224" s="67"/>
      <c r="J224" s="71"/>
      <c r="K224" s="84">
        <f t="shared" si="35"/>
        <v>0</v>
      </c>
      <c r="L224" s="67">
        <f t="shared" si="36"/>
        <v>0</v>
      </c>
    </row>
    <row r="225" spans="1:12" hidden="1" outlineLevel="1" x14ac:dyDescent="0.35">
      <c r="A225" s="93">
        <v>3078</v>
      </c>
      <c r="B225" s="182" t="s">
        <v>388</v>
      </c>
      <c r="C225" s="26" t="s">
        <v>903</v>
      </c>
      <c r="D225" s="85"/>
      <c r="E225" s="63"/>
      <c r="F225" s="83"/>
      <c r="G225" s="64"/>
      <c r="H225" s="85"/>
      <c r="I225" s="67"/>
      <c r="J225" s="71"/>
      <c r="K225" s="84">
        <f t="shared" si="35"/>
        <v>0</v>
      </c>
      <c r="L225" s="67">
        <f t="shared" si="36"/>
        <v>0</v>
      </c>
    </row>
    <row r="226" spans="1:12" hidden="1" outlineLevel="1" x14ac:dyDescent="0.35">
      <c r="A226" s="93" t="s">
        <v>389</v>
      </c>
      <c r="B226" s="182" t="s">
        <v>390</v>
      </c>
      <c r="C226" s="26" t="s">
        <v>903</v>
      </c>
      <c r="D226" s="85"/>
      <c r="E226" s="63"/>
      <c r="F226" s="83"/>
      <c r="G226" s="64"/>
      <c r="H226" s="85"/>
      <c r="I226" s="67"/>
      <c r="J226" s="71"/>
      <c r="K226" s="84">
        <f t="shared" si="35"/>
        <v>0</v>
      </c>
      <c r="L226" s="67">
        <f t="shared" si="36"/>
        <v>0</v>
      </c>
    </row>
    <row r="227" spans="1:12" hidden="1" outlineLevel="1" x14ac:dyDescent="0.35">
      <c r="A227" s="93" t="s">
        <v>908</v>
      </c>
      <c r="B227" s="189" t="s">
        <v>909</v>
      </c>
      <c r="C227" s="26" t="s">
        <v>903</v>
      </c>
      <c r="D227" s="85"/>
      <c r="E227" s="63"/>
      <c r="F227" s="83"/>
      <c r="G227" s="64"/>
      <c r="H227" s="85"/>
      <c r="I227" s="67"/>
      <c r="J227" s="71"/>
      <c r="K227" s="84">
        <f t="shared" si="35"/>
        <v>0</v>
      </c>
      <c r="L227" s="67">
        <f t="shared" si="36"/>
        <v>0</v>
      </c>
    </row>
    <row r="228" spans="1:12" hidden="1" outlineLevel="1" x14ac:dyDescent="0.35">
      <c r="A228" s="93" t="s">
        <v>391</v>
      </c>
      <c r="B228" s="182" t="s">
        <v>392</v>
      </c>
      <c r="C228" s="26" t="s">
        <v>903</v>
      </c>
      <c r="D228" s="85"/>
      <c r="E228" s="63"/>
      <c r="F228" s="83"/>
      <c r="G228" s="64"/>
      <c r="H228" s="85"/>
      <c r="I228" s="67"/>
      <c r="J228" s="71"/>
      <c r="K228" s="84">
        <f t="shared" si="35"/>
        <v>0</v>
      </c>
      <c r="L228" s="67">
        <f t="shared" si="36"/>
        <v>0</v>
      </c>
    </row>
    <row r="229" spans="1:12" hidden="1" outlineLevel="1" x14ac:dyDescent="0.35">
      <c r="A229" s="93" t="s">
        <v>393</v>
      </c>
      <c r="B229" s="182" t="s">
        <v>394</v>
      </c>
      <c r="C229" s="26" t="s">
        <v>903</v>
      </c>
      <c r="D229" s="85"/>
      <c r="E229" s="63"/>
      <c r="F229" s="83"/>
      <c r="G229" s="64">
        <v>73875</v>
      </c>
      <c r="H229" s="85"/>
      <c r="I229" s="67"/>
      <c r="J229" s="71"/>
      <c r="K229" s="84">
        <f t="shared" si="35"/>
        <v>0</v>
      </c>
      <c r="L229" s="67">
        <f t="shared" si="36"/>
        <v>73875</v>
      </c>
    </row>
    <row r="230" spans="1:12" hidden="1" outlineLevel="1" x14ac:dyDescent="0.35">
      <c r="A230" s="93" t="s">
        <v>395</v>
      </c>
      <c r="B230" s="182" t="s">
        <v>396</v>
      </c>
      <c r="C230" s="26" t="s">
        <v>903</v>
      </c>
      <c r="D230" s="85"/>
      <c r="E230" s="63"/>
      <c r="F230" s="83"/>
      <c r="G230" s="64"/>
      <c r="H230" s="85"/>
      <c r="I230" s="67">
        <v>15000</v>
      </c>
      <c r="J230" s="71"/>
      <c r="K230" s="84">
        <f t="shared" si="35"/>
        <v>15000</v>
      </c>
      <c r="L230" s="67">
        <f t="shared" si="36"/>
        <v>15000</v>
      </c>
    </row>
    <row r="231" spans="1:12" hidden="1" outlineLevel="1" x14ac:dyDescent="0.35">
      <c r="A231" s="93" t="s">
        <v>397</v>
      </c>
      <c r="B231" s="182" t="s">
        <v>398</v>
      </c>
      <c r="C231" s="26" t="s">
        <v>903</v>
      </c>
      <c r="D231" s="85"/>
      <c r="E231" s="63"/>
      <c r="F231" s="83"/>
      <c r="G231" s="64">
        <v>159</v>
      </c>
      <c r="H231" s="85"/>
      <c r="I231" s="67"/>
      <c r="J231" s="71"/>
      <c r="K231" s="84">
        <f t="shared" si="35"/>
        <v>0</v>
      </c>
      <c r="L231" s="67">
        <f t="shared" si="36"/>
        <v>159</v>
      </c>
    </row>
    <row r="232" spans="1:12" hidden="1" outlineLevel="1" x14ac:dyDescent="0.35">
      <c r="A232" s="93" t="s">
        <v>399</v>
      </c>
      <c r="B232" s="182" t="s">
        <v>400</v>
      </c>
      <c r="C232" s="26" t="s">
        <v>903</v>
      </c>
      <c r="D232" s="85"/>
      <c r="E232" s="63"/>
      <c r="F232" s="83"/>
      <c r="G232" s="64"/>
      <c r="H232" s="85"/>
      <c r="I232" s="67"/>
      <c r="J232" s="71"/>
      <c r="K232" s="84">
        <f t="shared" si="35"/>
        <v>0</v>
      </c>
      <c r="L232" s="67">
        <f t="shared" si="36"/>
        <v>0</v>
      </c>
    </row>
    <row r="233" spans="1:12" hidden="1" outlineLevel="1" x14ac:dyDescent="0.35">
      <c r="A233" s="93" t="s">
        <v>401</v>
      </c>
      <c r="B233" s="182" t="s">
        <v>402</v>
      </c>
      <c r="C233" s="26" t="s">
        <v>903</v>
      </c>
      <c r="D233" s="85"/>
      <c r="E233" s="63"/>
      <c r="F233" s="83"/>
      <c r="G233" s="64">
        <v>807</v>
      </c>
      <c r="H233" s="85"/>
      <c r="I233" s="67"/>
      <c r="J233" s="71"/>
      <c r="K233" s="84">
        <f t="shared" si="35"/>
        <v>0</v>
      </c>
      <c r="L233" s="67">
        <f t="shared" si="36"/>
        <v>807</v>
      </c>
    </row>
    <row r="234" spans="1:12" hidden="1" outlineLevel="1" x14ac:dyDescent="0.35">
      <c r="A234" s="93" t="s">
        <v>403</v>
      </c>
      <c r="B234" s="182" t="s">
        <v>404</v>
      </c>
      <c r="C234" s="26" t="s">
        <v>903</v>
      </c>
      <c r="D234" s="85"/>
      <c r="E234" s="63"/>
      <c r="F234" s="83"/>
      <c r="G234" s="64"/>
      <c r="H234" s="85"/>
      <c r="I234" s="67"/>
      <c r="J234" s="71"/>
      <c r="K234" s="84">
        <f t="shared" si="35"/>
        <v>0</v>
      </c>
      <c r="L234" s="67">
        <f t="shared" si="36"/>
        <v>0</v>
      </c>
    </row>
    <row r="235" spans="1:12" hidden="1" outlineLevel="1" x14ac:dyDescent="0.35">
      <c r="A235" s="93" t="s">
        <v>405</v>
      </c>
      <c r="B235" s="182" t="s">
        <v>406</v>
      </c>
      <c r="C235" s="26" t="s">
        <v>903</v>
      </c>
      <c r="D235" s="85"/>
      <c r="E235" s="63"/>
      <c r="F235" s="83">
        <v>279207</v>
      </c>
      <c r="G235" s="64"/>
      <c r="H235" s="85"/>
      <c r="I235" s="67"/>
      <c r="J235" s="71"/>
      <c r="K235" s="84">
        <f t="shared" si="35"/>
        <v>0</v>
      </c>
      <c r="L235" s="67">
        <f t="shared" si="36"/>
        <v>279207</v>
      </c>
    </row>
    <row r="236" spans="1:12" hidden="1" outlineLevel="1" x14ac:dyDescent="0.35">
      <c r="A236" s="93" t="s">
        <v>407</v>
      </c>
      <c r="B236" s="182" t="s">
        <v>408</v>
      </c>
      <c r="C236" s="26" t="s">
        <v>903</v>
      </c>
      <c r="D236" s="85"/>
      <c r="E236" s="63"/>
      <c r="F236" s="83"/>
      <c r="G236" s="64"/>
      <c r="H236" s="85">
        <v>26770</v>
      </c>
      <c r="I236" s="67"/>
      <c r="J236" s="71"/>
      <c r="K236" s="84">
        <f t="shared" si="35"/>
        <v>0</v>
      </c>
      <c r="L236" s="67">
        <f t="shared" si="36"/>
        <v>26770</v>
      </c>
    </row>
    <row r="237" spans="1:12" hidden="1" outlineLevel="1" x14ac:dyDescent="0.35">
      <c r="A237" s="93" t="s">
        <v>409</v>
      </c>
      <c r="B237" s="182" t="s">
        <v>410</v>
      </c>
      <c r="C237" s="26" t="s">
        <v>903</v>
      </c>
      <c r="D237" s="85"/>
      <c r="E237" s="63"/>
      <c r="F237" s="83"/>
      <c r="G237" s="64"/>
      <c r="H237" s="85"/>
      <c r="I237" s="67"/>
      <c r="J237" s="71"/>
      <c r="K237" s="84">
        <f t="shared" si="35"/>
        <v>0</v>
      </c>
      <c r="L237" s="67">
        <f t="shared" si="36"/>
        <v>0</v>
      </c>
    </row>
    <row r="238" spans="1:12" hidden="1" outlineLevel="1" x14ac:dyDescent="0.35">
      <c r="A238" s="93" t="s">
        <v>411</v>
      </c>
      <c r="B238" s="182" t="s">
        <v>412</v>
      </c>
      <c r="C238" s="26" t="s">
        <v>903</v>
      </c>
      <c r="D238" s="85"/>
      <c r="E238" s="63">
        <v>1270</v>
      </c>
      <c r="F238" s="83"/>
      <c r="G238" s="64">
        <v>61824</v>
      </c>
      <c r="H238" s="85"/>
      <c r="I238" s="67"/>
      <c r="J238" s="71"/>
      <c r="K238" s="84">
        <f t="shared" si="35"/>
        <v>0</v>
      </c>
      <c r="L238" s="67">
        <f t="shared" si="36"/>
        <v>63094</v>
      </c>
    </row>
    <row r="239" spans="1:12" hidden="1" outlineLevel="1" x14ac:dyDescent="0.35">
      <c r="A239" s="93" t="s">
        <v>413</v>
      </c>
      <c r="B239" s="182" t="s">
        <v>414</v>
      </c>
      <c r="C239" s="26" t="s">
        <v>903</v>
      </c>
      <c r="D239" s="85"/>
      <c r="E239" s="63">
        <v>99044</v>
      </c>
      <c r="F239" s="83">
        <v>44857</v>
      </c>
      <c r="G239" s="64">
        <v>351474</v>
      </c>
      <c r="H239" s="85"/>
      <c r="I239" s="67">
        <v>101318</v>
      </c>
      <c r="J239" s="71"/>
      <c r="K239" s="84">
        <f t="shared" si="35"/>
        <v>101318</v>
      </c>
      <c r="L239" s="67">
        <f t="shared" si="36"/>
        <v>596693</v>
      </c>
    </row>
    <row r="240" spans="1:12" hidden="1" outlineLevel="1" x14ac:dyDescent="0.35">
      <c r="A240" s="93" t="s">
        <v>415</v>
      </c>
      <c r="B240" s="182" t="s">
        <v>416</v>
      </c>
      <c r="C240" s="26" t="s">
        <v>903</v>
      </c>
      <c r="D240" s="85"/>
      <c r="E240" s="63">
        <v>56500</v>
      </c>
      <c r="F240" s="83"/>
      <c r="G240" s="64">
        <v>90000</v>
      </c>
      <c r="H240" s="85"/>
      <c r="I240" s="67">
        <v>11000</v>
      </c>
      <c r="J240" s="71"/>
      <c r="K240" s="84">
        <f t="shared" si="35"/>
        <v>11000</v>
      </c>
      <c r="L240" s="67">
        <f t="shared" si="36"/>
        <v>157500</v>
      </c>
    </row>
    <row r="241" spans="1:12" hidden="1" outlineLevel="1" x14ac:dyDescent="0.35">
      <c r="A241" s="93" t="s">
        <v>417</v>
      </c>
      <c r="B241" s="182" t="s">
        <v>418</v>
      </c>
      <c r="C241" s="26" t="s">
        <v>903</v>
      </c>
      <c r="D241" s="85"/>
      <c r="E241" s="63"/>
      <c r="F241" s="83"/>
      <c r="G241" s="64"/>
      <c r="H241" s="85"/>
      <c r="I241" s="67"/>
      <c r="J241" s="71"/>
      <c r="K241" s="84">
        <f t="shared" si="35"/>
        <v>0</v>
      </c>
      <c r="L241" s="67">
        <f t="shared" si="36"/>
        <v>0</v>
      </c>
    </row>
    <row r="242" spans="1:12" hidden="1" outlineLevel="1" x14ac:dyDescent="0.35">
      <c r="A242" s="93" t="s">
        <v>419</v>
      </c>
      <c r="B242" s="182" t="s">
        <v>420</v>
      </c>
      <c r="C242" s="26" t="s">
        <v>903</v>
      </c>
      <c r="D242" s="85"/>
      <c r="E242" s="63"/>
      <c r="F242" s="83"/>
      <c r="G242" s="64"/>
      <c r="H242" s="85"/>
      <c r="I242" s="67"/>
      <c r="J242" s="71"/>
      <c r="K242" s="84">
        <f t="shared" si="35"/>
        <v>0</v>
      </c>
      <c r="L242" s="67">
        <f t="shared" si="36"/>
        <v>0</v>
      </c>
    </row>
    <row r="243" spans="1:12" hidden="1" outlineLevel="1" x14ac:dyDescent="0.35">
      <c r="A243" s="93" t="s">
        <v>912</v>
      </c>
      <c r="B243" s="182" t="s">
        <v>913</v>
      </c>
      <c r="C243" s="26" t="s">
        <v>903</v>
      </c>
      <c r="D243" s="85"/>
      <c r="E243" s="63"/>
      <c r="F243" s="83"/>
      <c r="G243" s="64"/>
      <c r="H243" s="85"/>
      <c r="I243" s="67"/>
      <c r="J243" s="71"/>
      <c r="K243" s="84">
        <f t="shared" si="35"/>
        <v>0</v>
      </c>
      <c r="L243" s="67">
        <f t="shared" si="36"/>
        <v>0</v>
      </c>
    </row>
    <row r="244" spans="1:12" hidden="1" outlineLevel="1" x14ac:dyDescent="0.35">
      <c r="A244" s="93" t="s">
        <v>421</v>
      </c>
      <c r="B244" s="182" t="s">
        <v>422</v>
      </c>
      <c r="C244" s="26" t="s">
        <v>903</v>
      </c>
      <c r="D244" s="85"/>
      <c r="E244" s="63"/>
      <c r="F244" s="83"/>
      <c r="G244" s="64"/>
      <c r="H244" s="85"/>
      <c r="I244" s="67"/>
      <c r="J244" s="71"/>
      <c r="K244" s="84">
        <f t="shared" si="35"/>
        <v>0</v>
      </c>
      <c r="L244" s="67">
        <f t="shared" si="36"/>
        <v>0</v>
      </c>
    </row>
    <row r="245" spans="1:12" hidden="1" outlineLevel="1" x14ac:dyDescent="0.35">
      <c r="A245" s="93" t="s">
        <v>423</v>
      </c>
      <c r="B245" s="189" t="s">
        <v>424</v>
      </c>
      <c r="C245" s="26" t="s">
        <v>903</v>
      </c>
      <c r="D245" s="85"/>
      <c r="E245" s="63">
        <v>112986</v>
      </c>
      <c r="F245" s="83"/>
      <c r="G245" s="64"/>
      <c r="H245" s="85"/>
      <c r="I245" s="67"/>
      <c r="J245" s="71"/>
      <c r="K245" s="84">
        <f t="shared" si="35"/>
        <v>0</v>
      </c>
      <c r="L245" s="67">
        <f t="shared" si="36"/>
        <v>112986</v>
      </c>
    </row>
    <row r="246" spans="1:12" hidden="1" outlineLevel="1" x14ac:dyDescent="0.35">
      <c r="A246" s="93" t="s">
        <v>425</v>
      </c>
      <c r="B246" s="189" t="s">
        <v>426</v>
      </c>
      <c r="C246" s="26" t="s">
        <v>903</v>
      </c>
      <c r="D246" s="85"/>
      <c r="E246" s="63"/>
      <c r="F246" s="83">
        <v>12950</v>
      </c>
      <c r="G246" s="64"/>
      <c r="H246" s="85"/>
      <c r="I246" s="67"/>
      <c r="J246" s="71"/>
      <c r="K246" s="84">
        <f t="shared" si="35"/>
        <v>0</v>
      </c>
      <c r="L246" s="67">
        <f t="shared" si="36"/>
        <v>12950</v>
      </c>
    </row>
    <row r="247" spans="1:12" hidden="1" outlineLevel="1" x14ac:dyDescent="0.35">
      <c r="A247" s="93" t="s">
        <v>427</v>
      </c>
      <c r="B247" s="182" t="s">
        <v>428</v>
      </c>
      <c r="C247" s="26" t="s">
        <v>903</v>
      </c>
      <c r="D247" s="85"/>
      <c r="E247" s="63"/>
      <c r="F247" s="83">
        <v>47435</v>
      </c>
      <c r="G247" s="64"/>
      <c r="H247" s="85"/>
      <c r="I247" s="67"/>
      <c r="J247" s="71"/>
      <c r="K247" s="84">
        <f t="shared" si="35"/>
        <v>0</v>
      </c>
      <c r="L247" s="67">
        <f t="shared" si="36"/>
        <v>47435</v>
      </c>
    </row>
    <row r="248" spans="1:12" hidden="1" outlineLevel="1" x14ac:dyDescent="0.35">
      <c r="A248" s="93" t="s">
        <v>429</v>
      </c>
      <c r="B248" s="182" t="s">
        <v>430</v>
      </c>
      <c r="C248" s="26" t="s">
        <v>903</v>
      </c>
      <c r="D248" s="85"/>
      <c r="E248" s="63"/>
      <c r="F248" s="83"/>
      <c r="G248" s="64"/>
      <c r="H248" s="85">
        <v>18606</v>
      </c>
      <c r="I248" s="67"/>
      <c r="J248" s="71"/>
      <c r="K248" s="84">
        <f t="shared" si="35"/>
        <v>0</v>
      </c>
      <c r="L248" s="67">
        <f t="shared" si="36"/>
        <v>18606</v>
      </c>
    </row>
    <row r="249" spans="1:12" hidden="1" outlineLevel="1" x14ac:dyDescent="0.35">
      <c r="A249" s="93" t="s">
        <v>431</v>
      </c>
      <c r="B249" s="182" t="s">
        <v>432</v>
      </c>
      <c r="C249" s="26" t="s">
        <v>903</v>
      </c>
      <c r="D249" s="85"/>
      <c r="E249" s="63"/>
      <c r="F249" s="83"/>
      <c r="G249" s="64"/>
      <c r="H249" s="85"/>
      <c r="I249" s="67"/>
      <c r="J249" s="71"/>
      <c r="K249" s="84">
        <f t="shared" si="35"/>
        <v>0</v>
      </c>
      <c r="L249" s="67">
        <f t="shared" si="36"/>
        <v>0</v>
      </c>
    </row>
    <row r="250" spans="1:12" hidden="1" outlineLevel="1" x14ac:dyDescent="0.35">
      <c r="A250" s="93" t="s">
        <v>433</v>
      </c>
      <c r="B250" s="182" t="s">
        <v>434</v>
      </c>
      <c r="C250" s="26" t="s">
        <v>903</v>
      </c>
      <c r="D250" s="85"/>
      <c r="E250" s="63"/>
      <c r="F250" s="83"/>
      <c r="G250" s="64"/>
      <c r="H250" s="85"/>
      <c r="I250" s="67"/>
      <c r="J250" s="71"/>
      <c r="K250" s="84">
        <f t="shared" si="35"/>
        <v>0</v>
      </c>
      <c r="L250" s="67">
        <f t="shared" si="36"/>
        <v>0</v>
      </c>
    </row>
    <row r="251" spans="1:12" hidden="1" outlineLevel="1" x14ac:dyDescent="0.35">
      <c r="A251" s="93" t="s">
        <v>435</v>
      </c>
      <c r="B251" s="182" t="s">
        <v>436</v>
      </c>
      <c r="C251" s="26" t="s">
        <v>903</v>
      </c>
      <c r="D251" s="85"/>
      <c r="E251" s="63"/>
      <c r="F251" s="83"/>
      <c r="G251" s="64"/>
      <c r="H251" s="85"/>
      <c r="I251" s="67"/>
      <c r="J251" s="71"/>
      <c r="K251" s="84">
        <f t="shared" si="35"/>
        <v>0</v>
      </c>
      <c r="L251" s="67">
        <f t="shared" si="36"/>
        <v>0</v>
      </c>
    </row>
    <row r="252" spans="1:12" hidden="1" outlineLevel="1" x14ac:dyDescent="0.35">
      <c r="A252" s="93" t="s">
        <v>437</v>
      </c>
      <c r="B252" s="182" t="s">
        <v>438</v>
      </c>
      <c r="C252" s="26" t="s">
        <v>903</v>
      </c>
      <c r="D252" s="85"/>
      <c r="E252" s="63"/>
      <c r="F252" s="83"/>
      <c r="G252" s="64"/>
      <c r="H252" s="85"/>
      <c r="I252" s="67"/>
      <c r="J252" s="71"/>
      <c r="K252" s="84">
        <f t="shared" si="35"/>
        <v>0</v>
      </c>
      <c r="L252" s="67">
        <f t="shared" si="36"/>
        <v>0</v>
      </c>
    </row>
    <row r="253" spans="1:12" hidden="1" outlineLevel="1" x14ac:dyDescent="0.35">
      <c r="A253" s="93" t="s">
        <v>439</v>
      </c>
      <c r="B253" s="182" t="s">
        <v>440</v>
      </c>
      <c r="C253" s="26" t="s">
        <v>903</v>
      </c>
      <c r="D253" s="85"/>
      <c r="E253" s="63"/>
      <c r="F253" s="83"/>
      <c r="G253" s="64"/>
      <c r="H253" s="85"/>
      <c r="I253" s="67"/>
      <c r="J253" s="71"/>
      <c r="K253" s="84">
        <f t="shared" si="35"/>
        <v>0</v>
      </c>
      <c r="L253" s="67">
        <f t="shared" si="36"/>
        <v>0</v>
      </c>
    </row>
    <row r="254" spans="1:12" hidden="1" outlineLevel="1" x14ac:dyDescent="0.35">
      <c r="A254" s="93" t="s">
        <v>441</v>
      </c>
      <c r="B254" s="182" t="s">
        <v>442</v>
      </c>
      <c r="C254" s="26" t="s">
        <v>903</v>
      </c>
      <c r="D254" s="85"/>
      <c r="E254" s="63"/>
      <c r="F254" s="83"/>
      <c r="G254" s="64">
        <v>19720</v>
      </c>
      <c r="H254" s="85">
        <f>30000+37014</f>
        <v>67014</v>
      </c>
      <c r="I254" s="67"/>
      <c r="J254" s="71"/>
      <c r="K254" s="84">
        <f t="shared" si="35"/>
        <v>0</v>
      </c>
      <c r="L254" s="67">
        <f t="shared" si="36"/>
        <v>86734</v>
      </c>
    </row>
    <row r="255" spans="1:12" hidden="1" outlineLevel="1" x14ac:dyDescent="0.35">
      <c r="A255" s="93" t="s">
        <v>464</v>
      </c>
      <c r="B255" s="182" t="s">
        <v>465</v>
      </c>
      <c r="C255" s="26" t="s">
        <v>903</v>
      </c>
      <c r="D255" s="85"/>
      <c r="E255" s="63"/>
      <c r="F255" s="83"/>
      <c r="G255" s="64">
        <f>-654397-304674</f>
        <v>-959071</v>
      </c>
      <c r="H255" s="85"/>
      <c r="I255" s="67"/>
      <c r="J255" s="71"/>
      <c r="K255" s="84">
        <f t="shared" si="35"/>
        <v>0</v>
      </c>
      <c r="L255" s="67">
        <f t="shared" si="36"/>
        <v>-959071</v>
      </c>
    </row>
    <row r="256" spans="1:12" collapsed="1" x14ac:dyDescent="0.35">
      <c r="A256" s="93"/>
      <c r="B256" s="182" t="s">
        <v>914</v>
      </c>
      <c r="C256" s="26"/>
      <c r="D256" s="85">
        <f>SUM(D257:D291)</f>
        <v>1630896.9505239895</v>
      </c>
      <c r="E256" s="65">
        <f t="shared" ref="E256:I256" si="38">SUM(E257:E291)</f>
        <v>918976.60119769012</v>
      </c>
      <c r="F256" s="85">
        <f t="shared" si="38"/>
        <v>2186612.3704284593</v>
      </c>
      <c r="G256" s="65">
        <f t="shared" si="38"/>
        <v>3222424.7080630213</v>
      </c>
      <c r="H256" s="85">
        <f>SUM(H257:H291)</f>
        <v>1751940.3697868397</v>
      </c>
      <c r="I256" s="85">
        <f t="shared" si="38"/>
        <v>932547</v>
      </c>
      <c r="J256" s="71">
        <f>J270+J265+J271</f>
        <v>3614647</v>
      </c>
      <c r="K256" s="84">
        <f>J256+I256</f>
        <v>4547194</v>
      </c>
      <c r="L256" s="67">
        <f t="shared" ref="L256:L263" si="39">K256+D256+E256+F256+G256+H256</f>
        <v>14258045</v>
      </c>
    </row>
    <row r="257" spans="1:14" hidden="1" outlineLevel="1" x14ac:dyDescent="0.35">
      <c r="A257" s="93" t="s">
        <v>443</v>
      </c>
      <c r="B257" s="182" t="s">
        <v>444</v>
      </c>
      <c r="C257" s="26" t="s">
        <v>914</v>
      </c>
      <c r="D257" s="85"/>
      <c r="E257" s="63">
        <v>255000</v>
      </c>
      <c r="F257" s="83">
        <f>1030953+470675</f>
        <v>1501628</v>
      </c>
      <c r="G257" s="64">
        <v>1015341</v>
      </c>
      <c r="H257" s="89">
        <f>252166+96683+688951+406886</f>
        <v>1444686</v>
      </c>
      <c r="I257" s="67">
        <f>463488-87680+313994+200398-45333</f>
        <v>844867</v>
      </c>
      <c r="J257" s="71"/>
      <c r="K257" s="84">
        <f t="shared" ref="K257:K263" si="40">J257+I257</f>
        <v>844867</v>
      </c>
      <c r="L257" s="67">
        <f t="shared" si="39"/>
        <v>5061522</v>
      </c>
    </row>
    <row r="258" spans="1:14" ht="15.75" hidden="1" customHeight="1" outlineLevel="1" x14ac:dyDescent="0.35">
      <c r="A258" s="99" t="s">
        <v>445</v>
      </c>
      <c r="B258" s="182" t="s">
        <v>446</v>
      </c>
      <c r="C258" s="26" t="s">
        <v>914</v>
      </c>
      <c r="D258" s="85">
        <v>1472112</v>
      </c>
      <c r="E258" s="63"/>
      <c r="F258" s="83"/>
      <c r="G258" s="64"/>
      <c r="H258" s="85"/>
      <c r="I258" s="67"/>
      <c r="J258" s="71"/>
      <c r="K258" s="84">
        <f t="shared" si="40"/>
        <v>0</v>
      </c>
      <c r="L258" s="67">
        <f t="shared" si="39"/>
        <v>1472112</v>
      </c>
    </row>
    <row r="259" spans="1:14" ht="15.75" hidden="1" customHeight="1" outlineLevel="1" x14ac:dyDescent="0.35">
      <c r="A259" s="93" t="s">
        <v>447</v>
      </c>
      <c r="B259" s="184" t="s">
        <v>448</v>
      </c>
      <c r="C259" s="26" t="s">
        <v>914</v>
      </c>
      <c r="D259" s="85"/>
      <c r="E259" s="63">
        <v>30000</v>
      </c>
      <c r="F259" s="83"/>
      <c r="G259" s="64">
        <v>98885</v>
      </c>
      <c r="H259" s="85">
        <v>20000</v>
      </c>
      <c r="I259" s="67"/>
      <c r="J259" s="71"/>
      <c r="K259" s="84">
        <f t="shared" si="40"/>
        <v>0</v>
      </c>
      <c r="L259" s="67">
        <f t="shared" si="39"/>
        <v>148885</v>
      </c>
    </row>
    <row r="260" spans="1:14" hidden="1" outlineLevel="1" x14ac:dyDescent="0.35">
      <c r="A260" s="93" t="s">
        <v>449</v>
      </c>
      <c r="B260" s="182" t="s">
        <v>450</v>
      </c>
      <c r="C260" s="26" t="s">
        <v>914</v>
      </c>
      <c r="D260" s="85"/>
      <c r="E260" s="63"/>
      <c r="F260" s="83"/>
      <c r="G260" s="64">
        <v>1161000</v>
      </c>
      <c r="H260" s="85"/>
      <c r="I260" s="67"/>
      <c r="J260" s="71"/>
      <c r="K260" s="84">
        <f t="shared" si="40"/>
        <v>0</v>
      </c>
      <c r="L260" s="67">
        <f t="shared" si="39"/>
        <v>1161000</v>
      </c>
    </row>
    <row r="261" spans="1:14" hidden="1" outlineLevel="1" x14ac:dyDescent="0.35">
      <c r="A261" s="93" t="s">
        <v>451</v>
      </c>
      <c r="B261" s="182" t="s">
        <v>452</v>
      </c>
      <c r="C261" s="26" t="s">
        <v>914</v>
      </c>
      <c r="D261" s="85">
        <v>3916</v>
      </c>
      <c r="E261" s="63">
        <v>50699</v>
      </c>
      <c r="F261" s="83"/>
      <c r="G261" s="64">
        <v>13126</v>
      </c>
      <c r="H261" s="85"/>
      <c r="I261" s="67"/>
      <c r="J261" s="71"/>
      <c r="K261" s="84">
        <f t="shared" si="40"/>
        <v>0</v>
      </c>
      <c r="L261" s="67">
        <f t="shared" si="39"/>
        <v>67741</v>
      </c>
    </row>
    <row r="262" spans="1:14" hidden="1" outlineLevel="1" x14ac:dyDescent="0.35">
      <c r="A262" s="93" t="s">
        <v>453</v>
      </c>
      <c r="B262" s="182" t="s">
        <v>454</v>
      </c>
      <c r="C262" s="26" t="s">
        <v>914</v>
      </c>
      <c r="D262" s="85"/>
      <c r="E262" s="63">
        <v>17975</v>
      </c>
      <c r="F262" s="83">
        <v>15828</v>
      </c>
      <c r="G262" s="64"/>
      <c r="H262" s="85"/>
      <c r="I262" s="67"/>
      <c r="J262" s="71"/>
      <c r="K262" s="84">
        <f t="shared" si="40"/>
        <v>0</v>
      </c>
      <c r="L262" s="67">
        <f t="shared" si="39"/>
        <v>33803</v>
      </c>
    </row>
    <row r="263" spans="1:14" hidden="1" outlineLevel="1" x14ac:dyDescent="0.35">
      <c r="A263" s="93" t="s">
        <v>915</v>
      </c>
      <c r="B263" s="182" t="s">
        <v>455</v>
      </c>
      <c r="C263" s="26" t="s">
        <v>914</v>
      </c>
      <c r="D263" s="85"/>
      <c r="E263" s="63">
        <v>38712</v>
      </c>
      <c r="F263" s="83"/>
      <c r="G263" s="64">
        <v>28513</v>
      </c>
      <c r="H263" s="85"/>
      <c r="I263" s="67"/>
      <c r="J263" s="71"/>
      <c r="K263" s="84">
        <f t="shared" si="40"/>
        <v>0</v>
      </c>
      <c r="L263" s="67">
        <f t="shared" si="39"/>
        <v>67225</v>
      </c>
    </row>
    <row r="264" spans="1:14" hidden="1" outlineLevel="1" x14ac:dyDescent="0.35">
      <c r="A264" s="93" t="s">
        <v>456</v>
      </c>
      <c r="B264" s="182" t="s">
        <v>457</v>
      </c>
      <c r="C264" s="26" t="s">
        <v>914</v>
      </c>
      <c r="D264" s="85">
        <v>14391</v>
      </c>
      <c r="E264" s="63">
        <v>20533</v>
      </c>
      <c r="F264" s="83"/>
      <c r="G264" s="64"/>
      <c r="H264" s="85"/>
      <c r="I264" s="67"/>
      <c r="J264" s="71"/>
      <c r="K264" s="132"/>
      <c r="L264" s="127"/>
    </row>
    <row r="265" spans="1:14" hidden="1" outlineLevel="1" x14ac:dyDescent="0.35">
      <c r="A265" s="93"/>
      <c r="B265" s="190" t="s">
        <v>1302</v>
      </c>
      <c r="C265" s="118"/>
      <c r="D265" s="119"/>
      <c r="E265" s="119"/>
      <c r="F265" s="119">
        <v>-336000</v>
      </c>
      <c r="G265" s="119">
        <f>-30000-72996-74563-57774</f>
        <v>-235333</v>
      </c>
      <c r="H265" s="119">
        <v>-115665</v>
      </c>
      <c r="I265" s="120">
        <v>0</v>
      </c>
      <c r="J265" s="128">
        <f>-(D265+E265+F265+G265+H265)</f>
        <v>686998</v>
      </c>
      <c r="K265" s="133">
        <f>+J265+I265</f>
        <v>686998</v>
      </c>
      <c r="L265" s="129">
        <f>+K265+H265+G265+F265+E265+D265</f>
        <v>0</v>
      </c>
    </row>
    <row r="266" spans="1:14" hidden="1" outlineLevel="1" x14ac:dyDescent="0.35">
      <c r="A266" s="93"/>
      <c r="B266" s="190" t="s">
        <v>1303</v>
      </c>
      <c r="C266" s="118"/>
      <c r="D266" s="119"/>
      <c r="E266" s="121"/>
      <c r="F266" s="122"/>
      <c r="G266" s="123"/>
      <c r="H266" s="119"/>
      <c r="I266" s="124">
        <v>0</v>
      </c>
      <c r="J266" s="128"/>
      <c r="K266" s="133">
        <f>+J266+I266</f>
        <v>0</v>
      </c>
      <c r="L266" s="129">
        <f>+K266+H266+G266+F266+E266+D266</f>
        <v>0</v>
      </c>
    </row>
    <row r="267" spans="1:14" hidden="1" outlineLevel="1" x14ac:dyDescent="0.35">
      <c r="A267" s="93" t="s">
        <v>458</v>
      </c>
      <c r="B267" s="182" t="s">
        <v>459</v>
      </c>
      <c r="C267" s="26" t="s">
        <v>914</v>
      </c>
      <c r="D267" s="85">
        <v>215458</v>
      </c>
      <c r="E267" s="63">
        <v>552331</v>
      </c>
      <c r="F267" s="83">
        <v>1906753</v>
      </c>
      <c r="G267" s="64">
        <v>1399095</v>
      </c>
      <c r="H267" s="85">
        <v>1087035</v>
      </c>
      <c r="I267" s="67"/>
      <c r="J267" s="71"/>
      <c r="K267" s="132"/>
      <c r="L267" s="127"/>
    </row>
    <row r="268" spans="1:14" hidden="1" outlineLevel="1" x14ac:dyDescent="0.35">
      <c r="A268" s="93" t="s">
        <v>460</v>
      </c>
      <c r="B268" s="182" t="s">
        <v>461</v>
      </c>
      <c r="C268" s="26" t="s">
        <v>914</v>
      </c>
      <c r="D268" s="85"/>
      <c r="E268" s="65"/>
      <c r="F268" s="83"/>
      <c r="G268" s="64"/>
      <c r="H268" s="85"/>
      <c r="I268" s="67"/>
      <c r="J268" s="71"/>
      <c r="K268" s="132"/>
      <c r="L268" s="127"/>
    </row>
    <row r="269" spans="1:14" hidden="1" outlineLevel="1" x14ac:dyDescent="0.35">
      <c r="A269" s="93" t="s">
        <v>462</v>
      </c>
      <c r="B269" s="182" t="s">
        <v>916</v>
      </c>
      <c r="C269" s="26" t="s">
        <v>914</v>
      </c>
      <c r="D269" s="85"/>
      <c r="E269" s="63"/>
      <c r="F269" s="83"/>
      <c r="G269" s="64"/>
      <c r="H269" s="85"/>
      <c r="I269" s="67"/>
      <c r="J269" s="71"/>
      <c r="K269" s="132"/>
      <c r="L269" s="127"/>
    </row>
    <row r="270" spans="1:14" hidden="1" outlineLevel="1" x14ac:dyDescent="0.35">
      <c r="A270" s="93"/>
      <c r="B270" s="190" t="s">
        <v>1295</v>
      </c>
      <c r="C270" s="118"/>
      <c r="D270" s="119">
        <f>-D267</f>
        <v>-215458</v>
      </c>
      <c r="E270" s="119">
        <f>-E267</f>
        <v>-552331</v>
      </c>
      <c r="F270" s="119">
        <f>-F267</f>
        <v>-1906753</v>
      </c>
      <c r="G270" s="119">
        <f>-G267+G405</f>
        <v>-1016072</v>
      </c>
      <c r="H270" s="119">
        <f>-H267</f>
        <v>-1087035</v>
      </c>
      <c r="I270" s="120">
        <v>0</v>
      </c>
      <c r="J270" s="128">
        <f>-(H270+G270+F270+E270+D270)</f>
        <v>4777649</v>
      </c>
      <c r="K270" s="133">
        <f>+J270+I270</f>
        <v>4777649</v>
      </c>
      <c r="L270" s="129">
        <f>+K270+H270+G270+F270+E270+D270</f>
        <v>0</v>
      </c>
    </row>
    <row r="271" spans="1:14" hidden="1" outlineLevel="1" x14ac:dyDescent="0.35">
      <c r="A271" s="93"/>
      <c r="B271" s="190" t="s">
        <v>1304</v>
      </c>
      <c r="C271" s="118"/>
      <c r="D271" s="119">
        <f>-Medlemmer!B8*'R2021'!J271</f>
        <v>92321.95052398945</v>
      </c>
      <c r="E271" s="121">
        <f>-Medlemmer!C8*'R2021'!J271</f>
        <v>211021.60119769015</v>
      </c>
      <c r="F271" s="122">
        <f>-Medlemmer!D8*'R2021'!J271</f>
        <v>780252.37042845937</v>
      </c>
      <c r="G271" s="123">
        <f>-Medlemmer!E8*'R2021'!J271</f>
        <v>363484.7080630213</v>
      </c>
      <c r="H271" s="119">
        <f>-Medlemmer!F8*'R2021'!J271</f>
        <v>402919.3697868397</v>
      </c>
      <c r="I271" s="124">
        <v>0</v>
      </c>
      <c r="J271" s="128">
        <v>-1850000</v>
      </c>
      <c r="K271" s="133">
        <f>+J271+I271</f>
        <v>-1850000</v>
      </c>
      <c r="L271" s="129">
        <f>+K271+H271+G271+F271+E271+D271</f>
        <v>0</v>
      </c>
      <c r="N271" s="180"/>
    </row>
    <row r="272" spans="1:14" hidden="1" outlineLevel="1" x14ac:dyDescent="0.35">
      <c r="A272" s="93" t="s">
        <v>466</v>
      </c>
      <c r="B272" s="182" t="s">
        <v>467</v>
      </c>
      <c r="C272" s="26" t="s">
        <v>914</v>
      </c>
      <c r="D272" s="85"/>
      <c r="E272" s="63"/>
      <c r="F272" s="83"/>
      <c r="G272" s="64">
        <v>6400</v>
      </c>
      <c r="H272" s="85"/>
      <c r="I272" s="67"/>
      <c r="J272" s="71"/>
      <c r="K272" s="134">
        <f t="shared" ref="K272" si="41">J272+I272</f>
        <v>0</v>
      </c>
      <c r="L272" s="130">
        <f t="shared" ref="L272" si="42">K272+D272+E272+F272+G272+H272</f>
        <v>6400</v>
      </c>
    </row>
    <row r="273" spans="1:12" hidden="1" outlineLevel="1" x14ac:dyDescent="0.35">
      <c r="A273" s="93" t="s">
        <v>468</v>
      </c>
      <c r="B273" s="182" t="s">
        <v>469</v>
      </c>
      <c r="C273" s="26" t="s">
        <v>914</v>
      </c>
      <c r="D273" s="85">
        <v>5435</v>
      </c>
      <c r="E273" s="63"/>
      <c r="F273" s="83"/>
      <c r="G273" s="64">
        <v>750</v>
      </c>
      <c r="H273" s="85"/>
      <c r="I273" s="67"/>
      <c r="J273" s="71"/>
      <c r="K273" s="134">
        <f>J273+I273</f>
        <v>0</v>
      </c>
      <c r="L273" s="130">
        <f>K273+D273+E273+F273+G273+H273</f>
        <v>6185</v>
      </c>
    </row>
    <row r="274" spans="1:12" hidden="1" outlineLevel="1" x14ac:dyDescent="0.35">
      <c r="A274" s="93" t="s">
        <v>470</v>
      </c>
      <c r="B274" s="182" t="s">
        <v>471</v>
      </c>
      <c r="C274" s="26" t="s">
        <v>914</v>
      </c>
      <c r="D274" s="85"/>
      <c r="E274" s="63"/>
      <c r="F274" s="83"/>
      <c r="G274" s="64">
        <v>1600</v>
      </c>
      <c r="H274" s="85"/>
      <c r="I274" s="67"/>
      <c r="J274" s="71"/>
      <c r="K274" s="134">
        <f t="shared" ref="K274:K281" si="43">J274+I274</f>
        <v>0</v>
      </c>
      <c r="L274" s="130">
        <f t="shared" ref="L274:L281" si="44">K274+D274+E274+F274+G274+H274</f>
        <v>1600</v>
      </c>
    </row>
    <row r="275" spans="1:12" hidden="1" outlineLevel="1" x14ac:dyDescent="0.35">
      <c r="A275" s="93" t="s">
        <v>472</v>
      </c>
      <c r="B275" s="182" t="s">
        <v>473</v>
      </c>
      <c r="C275" s="26" t="s">
        <v>914</v>
      </c>
      <c r="D275" s="85"/>
      <c r="E275" s="63"/>
      <c r="F275" s="83"/>
      <c r="G275" s="64"/>
      <c r="H275" s="85"/>
      <c r="I275" s="67"/>
      <c r="J275" s="71"/>
      <c r="K275" s="134">
        <f t="shared" si="43"/>
        <v>0</v>
      </c>
      <c r="L275" s="130">
        <f t="shared" si="44"/>
        <v>0</v>
      </c>
    </row>
    <row r="276" spans="1:12" hidden="1" outlineLevel="1" x14ac:dyDescent="0.35">
      <c r="A276" s="93" t="s">
        <v>474</v>
      </c>
      <c r="B276" s="182" t="s">
        <v>475</v>
      </c>
      <c r="C276" s="26" t="s">
        <v>914</v>
      </c>
      <c r="D276" s="85"/>
      <c r="E276" s="63">
        <v>57950</v>
      </c>
      <c r="F276" s="83"/>
      <c r="G276" s="64"/>
      <c r="H276" s="85"/>
      <c r="I276" s="67"/>
      <c r="J276" s="71"/>
      <c r="K276" s="134">
        <f t="shared" si="43"/>
        <v>0</v>
      </c>
      <c r="L276" s="130">
        <f t="shared" si="44"/>
        <v>57950</v>
      </c>
    </row>
    <row r="277" spans="1:12" hidden="1" outlineLevel="1" x14ac:dyDescent="0.35">
      <c r="A277" s="93" t="s">
        <v>476</v>
      </c>
      <c r="B277" s="182" t="s">
        <v>477</v>
      </c>
      <c r="C277" s="26" t="s">
        <v>914</v>
      </c>
      <c r="D277" s="85"/>
      <c r="E277" s="63"/>
      <c r="F277" s="83"/>
      <c r="G277" s="64"/>
      <c r="H277" s="85"/>
      <c r="I277" s="67"/>
      <c r="J277" s="71"/>
      <c r="K277" s="134">
        <f t="shared" si="43"/>
        <v>0</v>
      </c>
      <c r="L277" s="130">
        <f t="shared" si="44"/>
        <v>0</v>
      </c>
    </row>
    <row r="278" spans="1:12" hidden="1" outlineLevel="1" x14ac:dyDescent="0.35">
      <c r="A278" s="93" t="s">
        <v>478</v>
      </c>
      <c r="B278" s="182" t="s">
        <v>479</v>
      </c>
      <c r="C278" s="26" t="s">
        <v>914</v>
      </c>
      <c r="D278" s="85">
        <v>15247</v>
      </c>
      <c r="E278" s="63">
        <v>177355</v>
      </c>
      <c r="F278" s="83"/>
      <c r="G278" s="64">
        <v>269650</v>
      </c>
      <c r="H278" s="85"/>
      <c r="I278" s="67">
        <v>87680</v>
      </c>
      <c r="J278" s="71"/>
      <c r="K278" s="134">
        <f t="shared" si="43"/>
        <v>87680</v>
      </c>
      <c r="L278" s="130">
        <f t="shared" si="44"/>
        <v>549932</v>
      </c>
    </row>
    <row r="279" spans="1:12" hidden="1" outlineLevel="1" x14ac:dyDescent="0.35">
      <c r="A279" s="93" t="s">
        <v>480</v>
      </c>
      <c r="B279" s="182" t="s">
        <v>481</v>
      </c>
      <c r="C279" s="26" t="s">
        <v>914</v>
      </c>
      <c r="D279" s="85"/>
      <c r="E279" s="63"/>
      <c r="F279" s="83"/>
      <c r="G279" s="64"/>
      <c r="H279" s="85"/>
      <c r="I279" s="67"/>
      <c r="J279" s="71"/>
      <c r="K279" s="134">
        <f t="shared" si="43"/>
        <v>0</v>
      </c>
      <c r="L279" s="130">
        <f t="shared" si="44"/>
        <v>0</v>
      </c>
    </row>
    <row r="280" spans="1:12" hidden="1" outlineLevel="1" x14ac:dyDescent="0.35">
      <c r="A280" s="93" t="s">
        <v>482</v>
      </c>
      <c r="B280" s="182" t="s">
        <v>483</v>
      </c>
      <c r="C280" s="26" t="s">
        <v>914</v>
      </c>
      <c r="D280" s="85"/>
      <c r="E280" s="63"/>
      <c r="F280" s="83"/>
      <c r="G280" s="64">
        <v>7000</v>
      </c>
      <c r="H280" s="85"/>
      <c r="I280" s="67"/>
      <c r="J280" s="71"/>
      <c r="K280" s="134">
        <f t="shared" si="43"/>
        <v>0</v>
      </c>
      <c r="L280" s="130">
        <f t="shared" si="44"/>
        <v>7000</v>
      </c>
    </row>
    <row r="281" spans="1:12" hidden="1" outlineLevel="1" x14ac:dyDescent="0.35">
      <c r="A281" s="93" t="s">
        <v>484</v>
      </c>
      <c r="B281" s="182" t="s">
        <v>485</v>
      </c>
      <c r="C281" s="26" t="s">
        <v>914</v>
      </c>
      <c r="D281" s="85"/>
      <c r="E281" s="63"/>
      <c r="F281" s="83"/>
      <c r="G281" s="64">
        <v>700</v>
      </c>
      <c r="H281" s="85"/>
      <c r="I281" s="67"/>
      <c r="J281" s="71"/>
      <c r="K281" s="134">
        <f t="shared" si="43"/>
        <v>0</v>
      </c>
      <c r="L281" s="130">
        <f t="shared" si="44"/>
        <v>700</v>
      </c>
    </row>
    <row r="282" spans="1:12" hidden="1" outlineLevel="1" x14ac:dyDescent="0.35">
      <c r="A282" s="93" t="s">
        <v>486</v>
      </c>
      <c r="B282" s="182" t="s">
        <v>487</v>
      </c>
      <c r="C282" s="26" t="s">
        <v>914</v>
      </c>
      <c r="D282" s="85"/>
      <c r="E282" s="63"/>
      <c r="F282" s="83"/>
      <c r="G282" s="64"/>
      <c r="H282" s="85"/>
      <c r="I282" s="67"/>
      <c r="J282" s="71"/>
      <c r="K282" s="134">
        <f t="shared" ref="K282:K339" si="45">J282+I282</f>
        <v>0</v>
      </c>
      <c r="L282" s="130">
        <f t="shared" ref="L282:L339" si="46">K282+D282+E282+F282+G282+H282</f>
        <v>0</v>
      </c>
    </row>
    <row r="283" spans="1:12" hidden="1" outlineLevel="1" x14ac:dyDescent="0.35">
      <c r="A283" s="93" t="s">
        <v>488</v>
      </c>
      <c r="B283" s="182" t="s">
        <v>489</v>
      </c>
      <c r="C283" s="26" t="s">
        <v>914</v>
      </c>
      <c r="D283" s="85"/>
      <c r="E283" s="63"/>
      <c r="F283" s="83"/>
      <c r="G283" s="64"/>
      <c r="H283" s="85"/>
      <c r="I283" s="67"/>
      <c r="J283" s="71"/>
      <c r="K283" s="134">
        <f t="shared" si="45"/>
        <v>0</v>
      </c>
      <c r="L283" s="130">
        <f t="shared" si="46"/>
        <v>0</v>
      </c>
    </row>
    <row r="284" spans="1:12" hidden="1" outlineLevel="1" x14ac:dyDescent="0.35">
      <c r="A284" s="93" t="s">
        <v>490</v>
      </c>
      <c r="B284" s="182" t="s">
        <v>491</v>
      </c>
      <c r="C284" s="26" t="s">
        <v>914</v>
      </c>
      <c r="D284" s="85"/>
      <c r="E284" s="63"/>
      <c r="F284" s="83"/>
      <c r="G284" s="64">
        <v>-768</v>
      </c>
      <c r="H284" s="85"/>
      <c r="I284" s="67"/>
      <c r="J284" s="71"/>
      <c r="K284" s="134">
        <f t="shared" si="45"/>
        <v>0</v>
      </c>
      <c r="L284" s="130">
        <f t="shared" si="46"/>
        <v>-768</v>
      </c>
    </row>
    <row r="285" spans="1:12" hidden="1" outlineLevel="1" x14ac:dyDescent="0.35">
      <c r="A285" s="93" t="s">
        <v>492</v>
      </c>
      <c r="B285" s="182" t="s">
        <v>493</v>
      </c>
      <c r="C285" s="26" t="s">
        <v>914</v>
      </c>
      <c r="D285" s="85"/>
      <c r="E285" s="63"/>
      <c r="F285" s="83"/>
      <c r="G285" s="64"/>
      <c r="H285" s="85"/>
      <c r="I285" s="67"/>
      <c r="J285" s="71"/>
      <c r="K285" s="134">
        <f t="shared" si="45"/>
        <v>0</v>
      </c>
      <c r="L285" s="130">
        <f t="shared" si="46"/>
        <v>0</v>
      </c>
    </row>
    <row r="286" spans="1:12" hidden="1" outlineLevel="1" x14ac:dyDescent="0.35">
      <c r="A286" s="93" t="s">
        <v>917</v>
      </c>
      <c r="B286" s="182" t="s">
        <v>918</v>
      </c>
      <c r="C286" s="26" t="s">
        <v>914</v>
      </c>
      <c r="D286" s="85"/>
      <c r="E286" s="63"/>
      <c r="F286" s="83"/>
      <c r="G286" s="64"/>
      <c r="H286" s="85"/>
      <c r="I286" s="67"/>
      <c r="J286" s="71"/>
      <c r="K286" s="134">
        <f t="shared" si="45"/>
        <v>0</v>
      </c>
      <c r="L286" s="130">
        <f t="shared" si="46"/>
        <v>0</v>
      </c>
    </row>
    <row r="287" spans="1:12" hidden="1" outlineLevel="1" x14ac:dyDescent="0.35">
      <c r="A287" s="93" t="s">
        <v>494</v>
      </c>
      <c r="B287" s="182" t="s">
        <v>495</v>
      </c>
      <c r="C287" s="26" t="s">
        <v>914</v>
      </c>
      <c r="D287" s="85">
        <v>27474</v>
      </c>
      <c r="E287" s="63">
        <v>59731</v>
      </c>
      <c r="F287" s="83">
        <v>224904</v>
      </c>
      <c r="G287" s="64">
        <v>109053</v>
      </c>
      <c r="H287" s="85"/>
      <c r="I287" s="67"/>
      <c r="J287" s="71"/>
      <c r="K287" s="134">
        <f t="shared" si="45"/>
        <v>0</v>
      </c>
      <c r="L287" s="130">
        <f t="shared" si="46"/>
        <v>421162</v>
      </c>
    </row>
    <row r="288" spans="1:12" hidden="1" outlineLevel="1" x14ac:dyDescent="0.35">
      <c r="A288" s="93" t="s">
        <v>496</v>
      </c>
      <c r="B288" s="182" t="s">
        <v>497</v>
      </c>
      <c r="C288" s="26" t="s">
        <v>914</v>
      </c>
      <c r="D288" s="85"/>
      <c r="E288" s="63"/>
      <c r="F288" s="83"/>
      <c r="G288" s="64"/>
      <c r="H288" s="85"/>
      <c r="I288" s="67"/>
      <c r="J288" s="71"/>
      <c r="K288" s="134">
        <f t="shared" si="45"/>
        <v>0</v>
      </c>
      <c r="L288" s="130">
        <f t="shared" si="46"/>
        <v>0</v>
      </c>
    </row>
    <row r="289" spans="1:12" hidden="1" outlineLevel="1" x14ac:dyDescent="0.35">
      <c r="A289" s="93" t="s">
        <v>498</v>
      </c>
      <c r="B289" s="182" t="s">
        <v>499</v>
      </c>
      <c r="C289" s="26" t="s">
        <v>914</v>
      </c>
      <c r="D289" s="85"/>
      <c r="E289" s="63"/>
      <c r="F289" s="83"/>
      <c r="G289" s="64"/>
      <c r="H289" s="85"/>
      <c r="I289" s="67"/>
      <c r="J289" s="71"/>
      <c r="K289" s="134">
        <f t="shared" si="45"/>
        <v>0</v>
      </c>
      <c r="L289" s="130">
        <f t="shared" si="46"/>
        <v>0</v>
      </c>
    </row>
    <row r="290" spans="1:12" hidden="1" outlineLevel="1" x14ac:dyDescent="0.35">
      <c r="A290" s="93" t="s">
        <v>500</v>
      </c>
      <c r="B290" s="182" t="s">
        <v>501</v>
      </c>
      <c r="C290" s="26" t="s">
        <v>914</v>
      </c>
      <c r="D290" s="85"/>
      <c r="E290" s="63"/>
      <c r="F290" s="83"/>
      <c r="G290" s="64"/>
      <c r="H290" s="85"/>
      <c r="I290" s="67"/>
      <c r="J290" s="71"/>
      <c r="K290" s="134">
        <f t="shared" si="45"/>
        <v>0</v>
      </c>
      <c r="L290" s="130">
        <f t="shared" si="46"/>
        <v>0</v>
      </c>
    </row>
    <row r="291" spans="1:12" hidden="1" outlineLevel="1" x14ac:dyDescent="0.35">
      <c r="A291" s="93" t="s">
        <v>502</v>
      </c>
      <c r="B291" s="182" t="s">
        <v>503</v>
      </c>
      <c r="C291" s="26" t="s">
        <v>914</v>
      </c>
      <c r="D291" s="85"/>
      <c r="E291" s="63"/>
      <c r="F291" s="83"/>
      <c r="G291" s="64"/>
      <c r="H291" s="85"/>
      <c r="I291" s="67"/>
      <c r="J291" s="71"/>
      <c r="K291" s="134">
        <f t="shared" si="45"/>
        <v>0</v>
      </c>
      <c r="L291" s="130">
        <f t="shared" si="46"/>
        <v>0</v>
      </c>
    </row>
    <row r="292" spans="1:12" s="12" customFormat="1" x14ac:dyDescent="0.35">
      <c r="A292" s="101"/>
      <c r="B292" s="188" t="s">
        <v>1289</v>
      </c>
      <c r="C292" s="35"/>
      <c r="D292" s="88">
        <f>D194+D256</f>
        <v>1716505.9505239895</v>
      </c>
      <c r="E292" s="76">
        <f t="shared" ref="E292:I292" si="47">E194+E256</f>
        <v>1188776.6011976902</v>
      </c>
      <c r="F292" s="88">
        <f t="shared" si="47"/>
        <v>2948607.3704284593</v>
      </c>
      <c r="G292" s="76">
        <f t="shared" si="47"/>
        <v>2996896.7080630213</v>
      </c>
      <c r="H292" s="88">
        <f t="shared" si="47"/>
        <v>2376542.3697868399</v>
      </c>
      <c r="I292" s="88">
        <f t="shared" si="47"/>
        <v>1059865</v>
      </c>
      <c r="J292" s="153"/>
      <c r="K292" s="137">
        <f>K194+K256</f>
        <v>4674512</v>
      </c>
      <c r="L292" s="138">
        <f t="shared" si="46"/>
        <v>15901841</v>
      </c>
    </row>
    <row r="293" spans="1:12" collapsed="1" x14ac:dyDescent="0.35">
      <c r="A293" s="93"/>
      <c r="B293" s="184" t="s">
        <v>920</v>
      </c>
      <c r="C293" s="26"/>
      <c r="D293" s="85">
        <f>SUM(D294:D337)</f>
        <v>45773</v>
      </c>
      <c r="E293" s="65">
        <f t="shared" ref="E293:G293" si="48">SUM(E294:E337)</f>
        <v>168511</v>
      </c>
      <c r="F293" s="85">
        <f t="shared" si="48"/>
        <v>752225</v>
      </c>
      <c r="G293" s="65">
        <f t="shared" si="48"/>
        <v>322371</v>
      </c>
      <c r="H293" s="85">
        <f>SUM(H294:H337)</f>
        <v>513940</v>
      </c>
      <c r="I293" s="85">
        <f>SUM(I294:I337)</f>
        <v>260965</v>
      </c>
      <c r="J293" s="71"/>
      <c r="K293" s="134">
        <f t="shared" si="45"/>
        <v>260965</v>
      </c>
      <c r="L293" s="130">
        <f t="shared" si="46"/>
        <v>2063785</v>
      </c>
    </row>
    <row r="294" spans="1:12" hidden="1" outlineLevel="1" x14ac:dyDescent="0.35">
      <c r="A294" s="93" t="s">
        <v>504</v>
      </c>
      <c r="B294" s="182" t="s">
        <v>505</v>
      </c>
      <c r="C294" s="26" t="s">
        <v>920</v>
      </c>
      <c r="D294" s="85"/>
      <c r="E294" s="63">
        <v>10678</v>
      </c>
      <c r="F294" s="83">
        <v>12856</v>
      </c>
      <c r="G294" s="64">
        <v>4170</v>
      </c>
      <c r="H294" s="85"/>
      <c r="I294" s="67"/>
      <c r="J294" s="71"/>
      <c r="K294" s="134">
        <f t="shared" si="45"/>
        <v>0</v>
      </c>
      <c r="L294" s="130">
        <f t="shared" si="46"/>
        <v>27704</v>
      </c>
    </row>
    <row r="295" spans="1:12" hidden="1" outlineLevel="1" x14ac:dyDescent="0.35">
      <c r="A295" s="93" t="s">
        <v>506</v>
      </c>
      <c r="B295" s="184" t="s">
        <v>921</v>
      </c>
      <c r="C295" s="26" t="s">
        <v>920</v>
      </c>
      <c r="D295" s="85"/>
      <c r="E295" s="63"/>
      <c r="F295" s="83"/>
      <c r="G295" s="64">
        <v>252</v>
      </c>
      <c r="H295" s="85"/>
      <c r="I295" s="67"/>
      <c r="J295" s="71"/>
      <c r="K295" s="134">
        <f t="shared" si="45"/>
        <v>0</v>
      </c>
      <c r="L295" s="130">
        <f t="shared" si="46"/>
        <v>252</v>
      </c>
    </row>
    <row r="296" spans="1:12" hidden="1" outlineLevel="1" x14ac:dyDescent="0.35">
      <c r="A296" s="93" t="s">
        <v>508</v>
      </c>
      <c r="B296" s="182" t="s">
        <v>335</v>
      </c>
      <c r="C296" s="26" t="s">
        <v>920</v>
      </c>
      <c r="D296" s="85"/>
      <c r="E296" s="63"/>
      <c r="F296" s="83"/>
      <c r="G296" s="64"/>
      <c r="H296" s="85"/>
      <c r="I296" s="67"/>
      <c r="J296" s="71"/>
      <c r="K296" s="134">
        <f t="shared" si="45"/>
        <v>0</v>
      </c>
      <c r="L296" s="130">
        <f t="shared" si="46"/>
        <v>0</v>
      </c>
    </row>
    <row r="297" spans="1:12" hidden="1" outlineLevel="1" x14ac:dyDescent="0.35">
      <c r="A297" s="93" t="s">
        <v>509</v>
      </c>
      <c r="B297" s="182" t="s">
        <v>337</v>
      </c>
      <c r="C297" s="26" t="s">
        <v>920</v>
      </c>
      <c r="D297" s="85"/>
      <c r="E297" s="63"/>
      <c r="F297" s="83"/>
      <c r="G297" s="64"/>
      <c r="H297" s="85"/>
      <c r="I297" s="67"/>
      <c r="J297" s="71"/>
      <c r="K297" s="134">
        <f t="shared" si="45"/>
        <v>0</v>
      </c>
      <c r="L297" s="130">
        <f t="shared" si="46"/>
        <v>0</v>
      </c>
    </row>
    <row r="298" spans="1:12" hidden="1" outlineLevel="1" x14ac:dyDescent="0.35">
      <c r="A298" s="93" t="s">
        <v>510</v>
      </c>
      <c r="B298" s="182" t="s">
        <v>341</v>
      </c>
      <c r="C298" s="26" t="s">
        <v>920</v>
      </c>
      <c r="D298" s="85"/>
      <c r="E298" s="63"/>
      <c r="F298" s="83"/>
      <c r="G298" s="64"/>
      <c r="H298" s="85"/>
      <c r="I298" s="67"/>
      <c r="J298" s="71"/>
      <c r="K298" s="134">
        <f t="shared" si="45"/>
        <v>0</v>
      </c>
      <c r="L298" s="130">
        <f t="shared" si="46"/>
        <v>0</v>
      </c>
    </row>
    <row r="299" spans="1:12" hidden="1" outlineLevel="1" x14ac:dyDescent="0.35">
      <c r="A299" s="93" t="s">
        <v>511</v>
      </c>
      <c r="B299" s="182" t="s">
        <v>345</v>
      </c>
      <c r="C299" s="26" t="s">
        <v>920</v>
      </c>
      <c r="D299" s="85"/>
      <c r="E299" s="63"/>
      <c r="F299" s="83"/>
      <c r="G299" s="64"/>
      <c r="H299" s="85"/>
      <c r="I299" s="67"/>
      <c r="J299" s="71"/>
      <c r="K299" s="134">
        <f t="shared" si="45"/>
        <v>0</v>
      </c>
      <c r="L299" s="130">
        <f t="shared" si="46"/>
        <v>0</v>
      </c>
    </row>
    <row r="300" spans="1:12" hidden="1" outlineLevel="1" x14ac:dyDescent="0.35">
      <c r="A300" s="93" t="s">
        <v>512</v>
      </c>
      <c r="B300" s="182" t="s">
        <v>347</v>
      </c>
      <c r="C300" s="26" t="s">
        <v>920</v>
      </c>
      <c r="D300" s="85"/>
      <c r="E300" s="63"/>
      <c r="F300" s="83"/>
      <c r="G300" s="64"/>
      <c r="H300" s="85"/>
      <c r="I300" s="67"/>
      <c r="J300" s="71"/>
      <c r="K300" s="134">
        <f t="shared" si="45"/>
        <v>0</v>
      </c>
      <c r="L300" s="130">
        <f t="shared" si="46"/>
        <v>0</v>
      </c>
    </row>
    <row r="301" spans="1:12" hidden="1" outlineLevel="1" x14ac:dyDescent="0.35">
      <c r="A301" s="93" t="s">
        <v>513</v>
      </c>
      <c r="B301" s="182" t="s">
        <v>349</v>
      </c>
      <c r="C301" s="26" t="s">
        <v>920</v>
      </c>
      <c r="D301" s="85"/>
      <c r="E301" s="63"/>
      <c r="F301" s="83"/>
      <c r="G301" s="64"/>
      <c r="H301" s="85"/>
      <c r="I301" s="67"/>
      <c r="J301" s="71"/>
      <c r="K301" s="134">
        <f t="shared" si="45"/>
        <v>0</v>
      </c>
      <c r="L301" s="130">
        <f t="shared" si="46"/>
        <v>0</v>
      </c>
    </row>
    <row r="302" spans="1:12" hidden="1" outlineLevel="1" x14ac:dyDescent="0.35">
      <c r="A302" s="93" t="s">
        <v>514</v>
      </c>
      <c r="B302" s="182" t="s">
        <v>515</v>
      </c>
      <c r="C302" s="26" t="s">
        <v>920</v>
      </c>
      <c r="D302" s="85"/>
      <c r="E302" s="63"/>
      <c r="F302" s="83"/>
      <c r="G302" s="64"/>
      <c r="H302" s="85"/>
      <c r="I302" s="67"/>
      <c r="J302" s="71"/>
      <c r="K302" s="134">
        <f t="shared" si="45"/>
        <v>0</v>
      </c>
      <c r="L302" s="130">
        <f t="shared" si="46"/>
        <v>0</v>
      </c>
    </row>
    <row r="303" spans="1:12" hidden="1" outlineLevel="1" x14ac:dyDescent="0.35">
      <c r="A303" s="93" t="s">
        <v>516</v>
      </c>
      <c r="B303" s="182" t="s">
        <v>517</v>
      </c>
      <c r="C303" s="26" t="s">
        <v>920</v>
      </c>
      <c r="D303" s="85"/>
      <c r="E303" s="63"/>
      <c r="F303" s="83"/>
      <c r="G303" s="64"/>
      <c r="H303" s="85"/>
      <c r="I303" s="67"/>
      <c r="J303" s="71"/>
      <c r="K303" s="134">
        <f t="shared" si="45"/>
        <v>0</v>
      </c>
      <c r="L303" s="130">
        <f t="shared" si="46"/>
        <v>0</v>
      </c>
    </row>
    <row r="304" spans="1:12" hidden="1" outlineLevel="1" x14ac:dyDescent="0.35">
      <c r="A304" s="93" t="s">
        <v>518</v>
      </c>
      <c r="B304" s="182" t="s">
        <v>519</v>
      </c>
      <c r="C304" s="26" t="s">
        <v>920</v>
      </c>
      <c r="D304" s="85"/>
      <c r="E304" s="75"/>
      <c r="F304" s="85">
        <v>152129</v>
      </c>
      <c r="G304" s="64">
        <v>17595</v>
      </c>
      <c r="H304" s="116">
        <f>2414+37379+21967+141169</f>
        <v>202929</v>
      </c>
      <c r="I304" s="67"/>
      <c r="J304" s="71"/>
      <c r="K304" s="134">
        <f t="shared" si="45"/>
        <v>0</v>
      </c>
      <c r="L304" s="130">
        <f t="shared" si="46"/>
        <v>372653</v>
      </c>
    </row>
    <row r="305" spans="1:12" hidden="1" outlineLevel="1" x14ac:dyDescent="0.35">
      <c r="A305" s="93" t="s">
        <v>520</v>
      </c>
      <c r="B305" s="182" t="s">
        <v>521</v>
      </c>
      <c r="C305" s="26" t="s">
        <v>920</v>
      </c>
      <c r="D305" s="85"/>
      <c r="E305" s="63"/>
      <c r="F305" s="83"/>
      <c r="G305" s="64"/>
      <c r="H305" s="85"/>
      <c r="I305" s="67"/>
      <c r="J305" s="71"/>
      <c r="K305" s="134">
        <f t="shared" si="45"/>
        <v>0</v>
      </c>
      <c r="L305" s="130">
        <f t="shared" si="46"/>
        <v>0</v>
      </c>
    </row>
    <row r="306" spans="1:12" hidden="1" outlineLevel="1" x14ac:dyDescent="0.35">
      <c r="A306" s="93" t="s">
        <v>522</v>
      </c>
      <c r="B306" s="182" t="s">
        <v>365</v>
      </c>
      <c r="C306" s="26" t="s">
        <v>920</v>
      </c>
      <c r="D306" s="85"/>
      <c r="E306" s="63"/>
      <c r="F306" s="83">
        <v>250916</v>
      </c>
      <c r="G306" s="64">
        <v>2497</v>
      </c>
      <c r="H306" s="85"/>
      <c r="I306" s="67"/>
      <c r="J306" s="71"/>
      <c r="K306" s="134">
        <f t="shared" si="45"/>
        <v>0</v>
      </c>
      <c r="L306" s="130">
        <f t="shared" si="46"/>
        <v>253413</v>
      </c>
    </row>
    <row r="307" spans="1:12" hidden="1" outlineLevel="1" x14ac:dyDescent="0.35">
      <c r="A307" s="93" t="s">
        <v>523</v>
      </c>
      <c r="B307" s="182" t="s">
        <v>524</v>
      </c>
      <c r="C307" s="26" t="s">
        <v>920</v>
      </c>
      <c r="D307" s="85"/>
      <c r="E307" s="63"/>
      <c r="F307" s="83"/>
      <c r="G307" s="64"/>
      <c r="H307" s="85"/>
      <c r="I307" s="67"/>
      <c r="J307" s="71"/>
      <c r="K307" s="134">
        <f t="shared" si="45"/>
        <v>0</v>
      </c>
      <c r="L307" s="130">
        <f t="shared" si="46"/>
        <v>0</v>
      </c>
    </row>
    <row r="308" spans="1:12" hidden="1" outlineLevel="1" x14ac:dyDescent="0.35">
      <c r="A308" s="93" t="s">
        <v>525</v>
      </c>
      <c r="B308" s="182" t="s">
        <v>526</v>
      </c>
      <c r="C308" s="26" t="s">
        <v>920</v>
      </c>
      <c r="D308" s="85"/>
      <c r="E308" s="63"/>
      <c r="F308" s="83"/>
      <c r="G308" s="64"/>
      <c r="H308" s="85"/>
      <c r="I308" s="67"/>
      <c r="J308" s="71"/>
      <c r="K308" s="134">
        <f t="shared" si="45"/>
        <v>0</v>
      </c>
      <c r="L308" s="130">
        <f t="shared" si="46"/>
        <v>0</v>
      </c>
    </row>
    <row r="309" spans="1:12" hidden="1" outlineLevel="1" x14ac:dyDescent="0.35">
      <c r="A309" s="93" t="s">
        <v>527</v>
      </c>
      <c r="B309" s="182" t="s">
        <v>528</v>
      </c>
      <c r="C309" s="26" t="s">
        <v>920</v>
      </c>
      <c r="D309" s="85"/>
      <c r="E309" s="63"/>
      <c r="F309" s="83"/>
      <c r="G309" s="64"/>
      <c r="H309" s="85"/>
      <c r="I309" s="67"/>
      <c r="J309" s="71"/>
      <c r="K309" s="134">
        <f t="shared" si="45"/>
        <v>0</v>
      </c>
      <c r="L309" s="130">
        <f t="shared" si="46"/>
        <v>0</v>
      </c>
    </row>
    <row r="310" spans="1:12" hidden="1" outlineLevel="1" x14ac:dyDescent="0.35">
      <c r="A310" s="93" t="s">
        <v>529</v>
      </c>
      <c r="B310" s="182" t="s">
        <v>530</v>
      </c>
      <c r="C310" s="26" t="s">
        <v>920</v>
      </c>
      <c r="D310" s="85"/>
      <c r="E310" s="63"/>
      <c r="F310" s="83"/>
      <c r="G310" s="64"/>
      <c r="H310" s="85"/>
      <c r="I310" s="67"/>
      <c r="J310" s="71"/>
      <c r="K310" s="134">
        <f t="shared" si="45"/>
        <v>0</v>
      </c>
      <c r="L310" s="130">
        <f t="shared" si="46"/>
        <v>0</v>
      </c>
    </row>
    <row r="311" spans="1:12" hidden="1" outlineLevel="1" x14ac:dyDescent="0.35">
      <c r="A311" s="93" t="s">
        <v>531</v>
      </c>
      <c r="B311" s="182" t="s">
        <v>532</v>
      </c>
      <c r="C311" s="26" t="s">
        <v>920</v>
      </c>
      <c r="D311" s="85"/>
      <c r="E311" s="63"/>
      <c r="F311" s="83"/>
      <c r="G311" s="64"/>
      <c r="H311" s="85"/>
      <c r="I311" s="67"/>
      <c r="J311" s="71"/>
      <c r="K311" s="134">
        <f t="shared" si="45"/>
        <v>0</v>
      </c>
      <c r="L311" s="130">
        <f t="shared" si="46"/>
        <v>0</v>
      </c>
    </row>
    <row r="312" spans="1:12" hidden="1" outlineLevel="1" x14ac:dyDescent="0.35">
      <c r="A312" s="93" t="s">
        <v>533</v>
      </c>
      <c r="B312" s="182" t="s">
        <v>534</v>
      </c>
      <c r="C312" s="26" t="s">
        <v>920</v>
      </c>
      <c r="D312" s="85"/>
      <c r="E312" s="63"/>
      <c r="F312" s="83"/>
      <c r="G312" s="64"/>
      <c r="H312" s="85"/>
      <c r="I312" s="67"/>
      <c r="J312" s="71"/>
      <c r="K312" s="134">
        <f t="shared" si="45"/>
        <v>0</v>
      </c>
      <c r="L312" s="130">
        <f t="shared" si="46"/>
        <v>0</v>
      </c>
    </row>
    <row r="313" spans="1:12" hidden="1" outlineLevel="1" x14ac:dyDescent="0.35">
      <c r="A313" s="93" t="s">
        <v>535</v>
      </c>
      <c r="B313" s="182" t="s">
        <v>536</v>
      </c>
      <c r="C313" s="26" t="s">
        <v>920</v>
      </c>
      <c r="D313" s="85">
        <v>45773</v>
      </c>
      <c r="E313" s="63">
        <v>38298</v>
      </c>
      <c r="F313" s="83">
        <v>326920</v>
      </c>
      <c r="G313" s="64">
        <v>189179</v>
      </c>
      <c r="H313" s="85"/>
      <c r="I313" s="67">
        <f>36058+30846+66222+125254</f>
        <v>258380</v>
      </c>
      <c r="J313" s="71"/>
      <c r="K313" s="134">
        <f t="shared" si="45"/>
        <v>258380</v>
      </c>
      <c r="L313" s="130">
        <f t="shared" si="46"/>
        <v>858550</v>
      </c>
    </row>
    <row r="314" spans="1:12" hidden="1" outlineLevel="1" x14ac:dyDescent="0.35">
      <c r="A314" s="93" t="s">
        <v>537</v>
      </c>
      <c r="B314" s="182" t="s">
        <v>538</v>
      </c>
      <c r="C314" s="26" t="s">
        <v>920</v>
      </c>
      <c r="D314" s="85"/>
      <c r="E314" s="63">
        <v>65100</v>
      </c>
      <c r="F314" s="83"/>
      <c r="G314" s="64"/>
      <c r="H314" s="85"/>
      <c r="I314" s="67"/>
      <c r="J314" s="71"/>
      <c r="K314" s="134">
        <f t="shared" si="45"/>
        <v>0</v>
      </c>
      <c r="L314" s="130">
        <f t="shared" si="46"/>
        <v>65100</v>
      </c>
    </row>
    <row r="315" spans="1:12" hidden="1" outlineLevel="1" x14ac:dyDescent="0.35">
      <c r="A315" s="93" t="s">
        <v>539</v>
      </c>
      <c r="B315" s="182" t="s">
        <v>540</v>
      </c>
      <c r="C315" s="26" t="s">
        <v>920</v>
      </c>
      <c r="D315" s="85"/>
      <c r="E315" s="63"/>
      <c r="F315" s="83"/>
      <c r="G315" s="64"/>
      <c r="H315" s="85"/>
      <c r="I315" s="67"/>
      <c r="J315" s="71"/>
      <c r="K315" s="134">
        <f t="shared" si="45"/>
        <v>0</v>
      </c>
      <c r="L315" s="130">
        <f t="shared" si="46"/>
        <v>0</v>
      </c>
    </row>
    <row r="316" spans="1:12" hidden="1" outlineLevel="1" x14ac:dyDescent="0.35">
      <c r="A316" s="93" t="s">
        <v>541</v>
      </c>
      <c r="B316" s="182" t="s">
        <v>542</v>
      </c>
      <c r="C316" s="26" t="s">
        <v>920</v>
      </c>
      <c r="D316" s="85"/>
      <c r="E316" s="63"/>
      <c r="F316" s="83"/>
      <c r="G316" s="64"/>
      <c r="H316" s="85"/>
      <c r="I316" s="67"/>
      <c r="J316" s="71"/>
      <c r="K316" s="134">
        <f t="shared" si="45"/>
        <v>0</v>
      </c>
      <c r="L316" s="130">
        <f t="shared" si="46"/>
        <v>0</v>
      </c>
    </row>
    <row r="317" spans="1:12" hidden="1" outlineLevel="1" x14ac:dyDescent="0.35">
      <c r="A317" s="93" t="s">
        <v>543</v>
      </c>
      <c r="B317" s="182" t="s">
        <v>544</v>
      </c>
      <c r="C317" s="26" t="s">
        <v>920</v>
      </c>
      <c r="D317" s="85"/>
      <c r="E317" s="63"/>
      <c r="F317" s="83"/>
      <c r="G317" s="64">
        <v>50623</v>
      </c>
      <c r="H317" s="85">
        <v>311011</v>
      </c>
      <c r="I317" s="67"/>
      <c r="J317" s="71"/>
      <c r="K317" s="134">
        <f t="shared" si="45"/>
        <v>0</v>
      </c>
      <c r="L317" s="130">
        <f t="shared" si="46"/>
        <v>361634</v>
      </c>
    </row>
    <row r="318" spans="1:12" hidden="1" outlineLevel="1" x14ac:dyDescent="0.35">
      <c r="A318" s="93" t="s">
        <v>545</v>
      </c>
      <c r="B318" s="191" t="s">
        <v>546</v>
      </c>
      <c r="C318" s="26" t="s">
        <v>920</v>
      </c>
      <c r="D318" s="85"/>
      <c r="E318" s="63"/>
      <c r="F318" s="83">
        <v>9404</v>
      </c>
      <c r="G318" s="64"/>
      <c r="H318" s="85"/>
      <c r="I318" s="67"/>
      <c r="J318" s="71"/>
      <c r="K318" s="134">
        <f t="shared" si="45"/>
        <v>0</v>
      </c>
      <c r="L318" s="130">
        <f t="shared" si="46"/>
        <v>9404</v>
      </c>
    </row>
    <row r="319" spans="1:12" hidden="1" outlineLevel="1" x14ac:dyDescent="0.35">
      <c r="A319" s="93" t="s">
        <v>547</v>
      </c>
      <c r="B319" s="191" t="s">
        <v>548</v>
      </c>
      <c r="C319" s="26" t="s">
        <v>920</v>
      </c>
      <c r="D319" s="85"/>
      <c r="E319" s="63"/>
      <c r="F319" s="83"/>
      <c r="G319" s="64"/>
      <c r="H319" s="85"/>
      <c r="I319" s="67"/>
      <c r="J319" s="71"/>
      <c r="K319" s="134">
        <f t="shared" si="45"/>
        <v>0</v>
      </c>
      <c r="L319" s="130">
        <f t="shared" si="46"/>
        <v>0</v>
      </c>
    </row>
    <row r="320" spans="1:12" hidden="1" outlineLevel="1" x14ac:dyDescent="0.35">
      <c r="A320" s="93" t="s">
        <v>549</v>
      </c>
      <c r="B320" s="182" t="s">
        <v>550</v>
      </c>
      <c r="C320" s="26" t="s">
        <v>920</v>
      </c>
      <c r="D320" s="85"/>
      <c r="E320" s="63">
        <v>46835</v>
      </c>
      <c r="F320" s="83"/>
      <c r="G320" s="64">
        <v>24928</v>
      </c>
      <c r="H320" s="85"/>
      <c r="I320" s="67">
        <v>2585</v>
      </c>
      <c r="J320" s="71"/>
      <c r="K320" s="134">
        <f t="shared" si="45"/>
        <v>2585</v>
      </c>
      <c r="L320" s="130">
        <f t="shared" si="46"/>
        <v>74348</v>
      </c>
    </row>
    <row r="321" spans="1:12" hidden="1" outlineLevel="1" x14ac:dyDescent="0.35">
      <c r="A321" s="93" t="s">
        <v>551</v>
      </c>
      <c r="B321" s="182" t="s">
        <v>552</v>
      </c>
      <c r="C321" s="26" t="s">
        <v>920</v>
      </c>
      <c r="D321" s="85"/>
      <c r="E321" s="63"/>
      <c r="F321" s="83"/>
      <c r="G321" s="64"/>
      <c r="H321" s="85"/>
      <c r="I321" s="67"/>
      <c r="J321" s="71"/>
      <c r="K321" s="134">
        <f t="shared" si="45"/>
        <v>0</v>
      </c>
      <c r="L321" s="130">
        <f t="shared" si="46"/>
        <v>0</v>
      </c>
    </row>
    <row r="322" spans="1:12" hidden="1" outlineLevel="1" x14ac:dyDescent="0.35">
      <c r="A322" s="93" t="s">
        <v>553</v>
      </c>
      <c r="B322" s="182" t="s">
        <v>554</v>
      </c>
      <c r="C322" s="26" t="s">
        <v>920</v>
      </c>
      <c r="D322" s="85"/>
      <c r="E322" s="63"/>
      <c r="F322" s="83"/>
      <c r="G322" s="64"/>
      <c r="H322" s="85"/>
      <c r="I322" s="67"/>
      <c r="J322" s="71"/>
      <c r="K322" s="134">
        <f t="shared" si="45"/>
        <v>0</v>
      </c>
      <c r="L322" s="130">
        <f t="shared" si="46"/>
        <v>0</v>
      </c>
    </row>
    <row r="323" spans="1:12" hidden="1" outlineLevel="1" x14ac:dyDescent="0.35">
      <c r="A323" s="93" t="s">
        <v>555</v>
      </c>
      <c r="B323" s="182" t="s">
        <v>556</v>
      </c>
      <c r="C323" s="26" t="s">
        <v>920</v>
      </c>
      <c r="D323" s="85"/>
      <c r="E323" s="63"/>
      <c r="F323" s="83"/>
      <c r="G323" s="64"/>
      <c r="H323" s="85"/>
      <c r="I323" s="67"/>
      <c r="J323" s="71"/>
      <c r="K323" s="134">
        <f t="shared" si="45"/>
        <v>0</v>
      </c>
      <c r="L323" s="130">
        <f t="shared" si="46"/>
        <v>0</v>
      </c>
    </row>
    <row r="324" spans="1:12" hidden="1" outlineLevel="1" x14ac:dyDescent="0.35">
      <c r="A324" s="93" t="s">
        <v>557</v>
      </c>
      <c r="B324" s="182" t="s">
        <v>558</v>
      </c>
      <c r="C324" s="26" t="s">
        <v>920</v>
      </c>
      <c r="D324" s="85"/>
      <c r="E324" s="63"/>
      <c r="F324" s="83"/>
      <c r="G324" s="64"/>
      <c r="H324" s="85"/>
      <c r="I324" s="67"/>
      <c r="J324" s="71"/>
      <c r="K324" s="134">
        <f t="shared" si="45"/>
        <v>0</v>
      </c>
      <c r="L324" s="130">
        <f t="shared" si="46"/>
        <v>0</v>
      </c>
    </row>
    <row r="325" spans="1:12" hidden="1" outlineLevel="1" x14ac:dyDescent="0.35">
      <c r="A325" s="93" t="s">
        <v>559</v>
      </c>
      <c r="B325" s="182" t="s">
        <v>560</v>
      </c>
      <c r="C325" s="26" t="s">
        <v>920</v>
      </c>
      <c r="D325" s="85"/>
      <c r="E325" s="63"/>
      <c r="F325" s="83"/>
      <c r="G325" s="64"/>
      <c r="H325" s="85"/>
      <c r="I325" s="67"/>
      <c r="J325" s="71"/>
      <c r="K325" s="134">
        <f t="shared" si="45"/>
        <v>0</v>
      </c>
      <c r="L325" s="130">
        <f t="shared" si="46"/>
        <v>0</v>
      </c>
    </row>
    <row r="326" spans="1:12" hidden="1" outlineLevel="1" x14ac:dyDescent="0.35">
      <c r="A326" s="93" t="s">
        <v>561</v>
      </c>
      <c r="B326" s="182" t="s">
        <v>562</v>
      </c>
      <c r="C326" s="26" t="s">
        <v>920</v>
      </c>
      <c r="D326" s="85"/>
      <c r="E326" s="63"/>
      <c r="F326" s="83"/>
      <c r="G326" s="64"/>
      <c r="H326" s="85"/>
      <c r="I326" s="67"/>
      <c r="J326" s="71"/>
      <c r="K326" s="134">
        <f t="shared" si="45"/>
        <v>0</v>
      </c>
      <c r="L326" s="130">
        <f t="shared" si="46"/>
        <v>0</v>
      </c>
    </row>
    <row r="327" spans="1:12" hidden="1" outlineLevel="1" x14ac:dyDescent="0.35">
      <c r="A327" s="93" t="s">
        <v>563</v>
      </c>
      <c r="B327" s="182" t="s">
        <v>564</v>
      </c>
      <c r="C327" s="26" t="s">
        <v>920</v>
      </c>
      <c r="D327" s="85"/>
      <c r="E327" s="63"/>
      <c r="F327" s="83"/>
      <c r="G327" s="64"/>
      <c r="H327" s="85"/>
      <c r="I327" s="67"/>
      <c r="J327" s="71"/>
      <c r="K327" s="134">
        <f t="shared" si="45"/>
        <v>0</v>
      </c>
      <c r="L327" s="130">
        <f t="shared" si="46"/>
        <v>0</v>
      </c>
    </row>
    <row r="328" spans="1:12" hidden="1" outlineLevel="1" x14ac:dyDescent="0.35">
      <c r="A328" s="93" t="s">
        <v>565</v>
      </c>
      <c r="B328" s="182" t="s">
        <v>566</v>
      </c>
      <c r="C328" s="26" t="s">
        <v>920</v>
      </c>
      <c r="D328" s="85"/>
      <c r="E328" s="63"/>
      <c r="F328" s="83"/>
      <c r="G328" s="64"/>
      <c r="H328" s="85"/>
      <c r="I328" s="67"/>
      <c r="J328" s="71"/>
      <c r="K328" s="134">
        <f t="shared" si="45"/>
        <v>0</v>
      </c>
      <c r="L328" s="130">
        <f t="shared" si="46"/>
        <v>0</v>
      </c>
    </row>
    <row r="329" spans="1:12" hidden="1" outlineLevel="1" x14ac:dyDescent="0.35">
      <c r="A329" s="93" t="s">
        <v>567</v>
      </c>
      <c r="B329" s="182" t="s">
        <v>923</v>
      </c>
      <c r="C329" s="26" t="s">
        <v>920</v>
      </c>
      <c r="D329" s="85"/>
      <c r="E329" s="63"/>
      <c r="F329" s="83"/>
      <c r="G329" s="64"/>
      <c r="H329" s="85"/>
      <c r="I329" s="67"/>
      <c r="J329" s="71"/>
      <c r="K329" s="134">
        <f t="shared" si="45"/>
        <v>0</v>
      </c>
      <c r="L329" s="130">
        <f t="shared" si="46"/>
        <v>0</v>
      </c>
    </row>
    <row r="330" spans="1:12" hidden="1" outlineLevel="1" x14ac:dyDescent="0.35">
      <c r="A330" s="93" t="s">
        <v>568</v>
      </c>
      <c r="B330" s="182" t="s">
        <v>569</v>
      </c>
      <c r="C330" s="26" t="s">
        <v>920</v>
      </c>
      <c r="D330" s="85"/>
      <c r="E330" s="63"/>
      <c r="F330" s="83"/>
      <c r="G330" s="64"/>
      <c r="H330" s="85"/>
      <c r="I330" s="67"/>
      <c r="J330" s="71"/>
      <c r="K330" s="134">
        <f t="shared" si="45"/>
        <v>0</v>
      </c>
      <c r="L330" s="130">
        <f t="shared" si="46"/>
        <v>0</v>
      </c>
    </row>
    <row r="331" spans="1:12" hidden="1" outlineLevel="1" x14ac:dyDescent="0.35">
      <c r="A331" s="93" t="s">
        <v>570</v>
      </c>
      <c r="B331" s="182" t="s">
        <v>571</v>
      </c>
      <c r="C331" s="26" t="s">
        <v>920</v>
      </c>
      <c r="D331" s="85"/>
      <c r="E331" s="63"/>
      <c r="F331" s="83"/>
      <c r="G331" s="64"/>
      <c r="H331" s="85"/>
      <c r="I331" s="67"/>
      <c r="J331" s="71"/>
      <c r="K331" s="134">
        <f t="shared" si="45"/>
        <v>0</v>
      </c>
      <c r="L331" s="130">
        <f t="shared" si="46"/>
        <v>0</v>
      </c>
    </row>
    <row r="332" spans="1:12" hidden="1" outlineLevel="1" x14ac:dyDescent="0.35">
      <c r="A332" s="93" t="s">
        <v>572</v>
      </c>
      <c r="B332" s="182" t="s">
        <v>573</v>
      </c>
      <c r="C332" s="26" t="s">
        <v>920</v>
      </c>
      <c r="D332" s="85"/>
      <c r="E332" s="63"/>
      <c r="F332" s="83"/>
      <c r="G332" s="64"/>
      <c r="H332" s="85"/>
      <c r="I332" s="67"/>
      <c r="J332" s="71"/>
      <c r="K332" s="134">
        <f t="shared" si="45"/>
        <v>0</v>
      </c>
      <c r="L332" s="130">
        <f t="shared" si="46"/>
        <v>0</v>
      </c>
    </row>
    <row r="333" spans="1:12" hidden="1" outlineLevel="1" x14ac:dyDescent="0.35">
      <c r="A333" s="93" t="s">
        <v>574</v>
      </c>
      <c r="B333" s="182" t="s">
        <v>575</v>
      </c>
      <c r="C333" s="26" t="s">
        <v>920</v>
      </c>
      <c r="D333" s="85"/>
      <c r="E333" s="63"/>
      <c r="F333" s="83"/>
      <c r="G333" s="64"/>
      <c r="H333" s="85"/>
      <c r="I333" s="67"/>
      <c r="J333" s="71"/>
      <c r="K333" s="134">
        <f t="shared" si="45"/>
        <v>0</v>
      </c>
      <c r="L333" s="130">
        <f t="shared" si="46"/>
        <v>0</v>
      </c>
    </row>
    <row r="334" spans="1:12" hidden="1" outlineLevel="1" x14ac:dyDescent="0.35">
      <c r="A334" s="93" t="s">
        <v>576</v>
      </c>
      <c r="B334" s="182" t="s">
        <v>577</v>
      </c>
      <c r="C334" s="26" t="s">
        <v>920</v>
      </c>
      <c r="D334" s="85"/>
      <c r="E334" s="63"/>
      <c r="F334" s="83"/>
      <c r="G334" s="64">
        <v>33127</v>
      </c>
      <c r="H334" s="85"/>
      <c r="I334" s="67"/>
      <c r="J334" s="71"/>
      <c r="K334" s="134">
        <f t="shared" si="45"/>
        <v>0</v>
      </c>
      <c r="L334" s="130">
        <f t="shared" si="46"/>
        <v>33127</v>
      </c>
    </row>
    <row r="335" spans="1:12" hidden="1" outlineLevel="1" x14ac:dyDescent="0.35">
      <c r="A335" s="93" t="s">
        <v>578</v>
      </c>
      <c r="B335" s="182" t="s">
        <v>579</v>
      </c>
      <c r="C335" s="26" t="s">
        <v>920</v>
      </c>
      <c r="D335" s="85"/>
      <c r="E335" s="63">
        <v>7600</v>
      </c>
      <c r="F335" s="91"/>
      <c r="G335" s="64"/>
      <c r="H335" s="85"/>
      <c r="I335" s="67"/>
      <c r="J335" s="71"/>
      <c r="K335" s="134">
        <f t="shared" si="45"/>
        <v>0</v>
      </c>
      <c r="L335" s="130">
        <f t="shared" si="46"/>
        <v>7600</v>
      </c>
    </row>
    <row r="336" spans="1:12" hidden="1" outlineLevel="1" x14ac:dyDescent="0.35">
      <c r="A336" s="93" t="s">
        <v>580</v>
      </c>
      <c r="B336" s="182" t="s">
        <v>581</v>
      </c>
      <c r="C336" s="26" t="s">
        <v>920</v>
      </c>
      <c r="D336" s="85"/>
      <c r="E336" s="63"/>
      <c r="F336" s="83"/>
      <c r="G336" s="64"/>
      <c r="H336" s="85"/>
      <c r="I336" s="67"/>
      <c r="J336" s="71"/>
      <c r="K336" s="134">
        <f t="shared" si="45"/>
        <v>0</v>
      </c>
      <c r="L336" s="130">
        <f t="shared" si="46"/>
        <v>0</v>
      </c>
    </row>
    <row r="337" spans="1:14" hidden="1" outlineLevel="1" x14ac:dyDescent="0.35">
      <c r="A337" s="93" t="s">
        <v>582</v>
      </c>
      <c r="B337" s="182" t="s">
        <v>583</v>
      </c>
      <c r="C337" s="26" t="s">
        <v>920</v>
      </c>
      <c r="D337" s="85"/>
      <c r="E337" s="63"/>
      <c r="F337" s="83"/>
      <c r="G337" s="64"/>
      <c r="H337" s="85"/>
      <c r="I337" s="67"/>
      <c r="J337" s="71"/>
      <c r="K337" s="134">
        <f t="shared" si="45"/>
        <v>0</v>
      </c>
      <c r="L337" s="130">
        <f t="shared" si="46"/>
        <v>0</v>
      </c>
    </row>
    <row r="338" spans="1:14" x14ac:dyDescent="0.35">
      <c r="A338" s="93"/>
      <c r="B338" s="188" t="s">
        <v>1286</v>
      </c>
      <c r="C338" s="35"/>
      <c r="D338" s="88">
        <f>D194+D256-D293</f>
        <v>1670732.9505239895</v>
      </c>
      <c r="E338" s="76">
        <f t="shared" ref="E338:K338" si="49">E194+E256-E293</f>
        <v>1020265.6011976902</v>
      </c>
      <c r="F338" s="88">
        <f t="shared" si="49"/>
        <v>2196382.3704284593</v>
      </c>
      <c r="G338" s="76">
        <f t="shared" si="49"/>
        <v>2674525.7080630213</v>
      </c>
      <c r="H338" s="88">
        <f t="shared" si="49"/>
        <v>1862602.3697868399</v>
      </c>
      <c r="I338" s="88">
        <f t="shared" si="49"/>
        <v>798900</v>
      </c>
      <c r="J338" s="88"/>
      <c r="K338" s="88">
        <f t="shared" si="49"/>
        <v>4413547</v>
      </c>
      <c r="L338" s="138">
        <f t="shared" si="46"/>
        <v>13838056</v>
      </c>
      <c r="N338" s="180"/>
    </row>
    <row r="339" spans="1:14" collapsed="1" x14ac:dyDescent="0.35">
      <c r="A339" s="93"/>
      <c r="B339" s="182" t="s">
        <v>925</v>
      </c>
      <c r="C339" s="26"/>
      <c r="D339" s="85">
        <f>SUM(D340:D385)</f>
        <v>0</v>
      </c>
      <c r="E339" s="65">
        <f t="shared" ref="E339:I339" si="50">SUM(E340:E385)</f>
        <v>80638</v>
      </c>
      <c r="F339" s="85">
        <f t="shared" si="50"/>
        <v>28324</v>
      </c>
      <c r="G339" s="65">
        <f t="shared" si="50"/>
        <v>2750</v>
      </c>
      <c r="H339" s="85">
        <f t="shared" si="50"/>
        <v>0</v>
      </c>
      <c r="I339" s="85">
        <f t="shared" si="50"/>
        <v>541820</v>
      </c>
      <c r="J339" s="71">
        <f>J341</f>
        <v>3178474</v>
      </c>
      <c r="K339" s="134">
        <f t="shared" si="45"/>
        <v>3720294</v>
      </c>
      <c r="L339" s="130">
        <f t="shared" si="46"/>
        <v>3832006</v>
      </c>
    </row>
    <row r="340" spans="1:14" hidden="1" outlineLevel="1" x14ac:dyDescent="0.35">
      <c r="A340" s="93" t="s">
        <v>584</v>
      </c>
      <c r="B340" s="182" t="s">
        <v>585</v>
      </c>
      <c r="C340" s="26" t="s">
        <v>925</v>
      </c>
      <c r="D340" s="85"/>
      <c r="E340" s="63"/>
      <c r="F340" s="83">
        <v>1201773</v>
      </c>
      <c r="G340" s="64">
        <v>809137</v>
      </c>
      <c r="H340" s="85">
        <v>661268</v>
      </c>
      <c r="I340" s="67">
        <v>454237</v>
      </c>
      <c r="J340" s="71"/>
      <c r="K340" s="132"/>
      <c r="L340" s="127"/>
    </row>
    <row r="341" spans="1:14" hidden="1" outlineLevel="1" x14ac:dyDescent="0.35">
      <c r="A341" s="93"/>
      <c r="B341" s="190" t="s">
        <v>1305</v>
      </c>
      <c r="C341" s="118"/>
      <c r="D341" s="119"/>
      <c r="E341" s="121"/>
      <c r="F341" s="122">
        <f>-F340-F346-F362-F363-F364-F368</f>
        <v>-1217922</v>
      </c>
      <c r="G341" s="123">
        <f>-G340-G345-G346-G347-G360-G362-G363-G364-G366-G368-G376-G383</f>
        <v>-1090805</v>
      </c>
      <c r="H341" s="119">
        <f>-H340-H345-H362-H363-H364</f>
        <v>-869747</v>
      </c>
      <c r="I341" s="120">
        <v>0</v>
      </c>
      <c r="J341" s="128">
        <f>-H341-G341-F341-E341-D341</f>
        <v>3178474</v>
      </c>
      <c r="K341" s="133">
        <f>+J341+I341</f>
        <v>3178474</v>
      </c>
      <c r="L341" s="129">
        <f>+K341+H341+G341+F341+E341+D341</f>
        <v>0</v>
      </c>
    </row>
    <row r="342" spans="1:14" hidden="1" outlineLevel="1" x14ac:dyDescent="0.35">
      <c r="A342" s="93" t="s">
        <v>586</v>
      </c>
      <c r="B342" s="182" t="s">
        <v>587</v>
      </c>
      <c r="C342" s="26" t="s">
        <v>925</v>
      </c>
      <c r="D342" s="85"/>
      <c r="E342" s="63"/>
      <c r="F342" s="83"/>
      <c r="G342" s="64"/>
      <c r="H342" s="85"/>
      <c r="I342" s="67"/>
      <c r="J342" s="71"/>
      <c r="K342" s="134">
        <f>I342+J342</f>
        <v>0</v>
      </c>
      <c r="L342" s="130">
        <f>K342+D342+E342+F342+G342+H342</f>
        <v>0</v>
      </c>
    </row>
    <row r="343" spans="1:14" hidden="1" outlineLevel="1" x14ac:dyDescent="0.35">
      <c r="A343" s="93" t="s">
        <v>588</v>
      </c>
      <c r="B343" s="182" t="s">
        <v>589</v>
      </c>
      <c r="C343" s="26" t="s">
        <v>925</v>
      </c>
      <c r="D343" s="85"/>
      <c r="E343" s="63"/>
      <c r="F343" s="83">
        <v>28324</v>
      </c>
      <c r="G343" s="64">
        <v>2750</v>
      </c>
      <c r="I343" s="67">
        <f>56624+60000</f>
        <v>116624</v>
      </c>
      <c r="J343" s="71"/>
      <c r="K343" s="134">
        <f t="shared" ref="K343:K406" si="51">I343+J343</f>
        <v>116624</v>
      </c>
      <c r="L343" s="130">
        <f t="shared" ref="L343:L406" si="52">K343+D343+E343+F343+G343+H343</f>
        <v>147698</v>
      </c>
    </row>
    <row r="344" spans="1:14" hidden="1" outlineLevel="1" x14ac:dyDescent="0.35">
      <c r="A344" s="93" t="s">
        <v>590</v>
      </c>
      <c r="B344" s="182" t="s">
        <v>591</v>
      </c>
      <c r="C344" s="26" t="s">
        <v>925</v>
      </c>
      <c r="D344" s="85"/>
      <c r="E344" s="63"/>
      <c r="F344" s="83"/>
      <c r="G344" s="64"/>
      <c r="H344" s="85"/>
      <c r="I344" s="67"/>
      <c r="J344" s="71"/>
      <c r="K344" s="134">
        <f t="shared" si="51"/>
        <v>0</v>
      </c>
      <c r="L344" s="130">
        <f t="shared" si="52"/>
        <v>0</v>
      </c>
    </row>
    <row r="345" spans="1:14" hidden="1" outlineLevel="1" x14ac:dyDescent="0.35">
      <c r="A345" s="93" t="s">
        <v>592</v>
      </c>
      <c r="B345" s="182" t="s">
        <v>593</v>
      </c>
      <c r="C345" s="26" t="s">
        <v>925</v>
      </c>
      <c r="D345" s="85"/>
      <c r="E345" s="63"/>
      <c r="F345" s="83"/>
      <c r="G345" s="64">
        <v>6061</v>
      </c>
      <c r="H345" s="85">
        <f>227+81690</f>
        <v>81917</v>
      </c>
      <c r="I345" s="67"/>
      <c r="J345" s="71"/>
      <c r="K345" s="134">
        <f t="shared" si="51"/>
        <v>0</v>
      </c>
      <c r="L345" s="130">
        <f t="shared" si="52"/>
        <v>87978</v>
      </c>
    </row>
    <row r="346" spans="1:14" hidden="1" outlineLevel="1" x14ac:dyDescent="0.35">
      <c r="A346" s="93" t="s">
        <v>594</v>
      </c>
      <c r="B346" s="182" t="s">
        <v>595</v>
      </c>
      <c r="C346" s="26" t="s">
        <v>925</v>
      </c>
      <c r="D346" s="85"/>
      <c r="E346" s="63"/>
      <c r="F346" s="83">
        <v>152590</v>
      </c>
      <c r="G346" s="64">
        <v>97096</v>
      </c>
      <c r="H346" s="85"/>
      <c r="I346" s="67">
        <v>52813</v>
      </c>
      <c r="J346" s="71"/>
      <c r="K346" s="134">
        <f t="shared" si="51"/>
        <v>52813</v>
      </c>
      <c r="L346" s="130">
        <f t="shared" si="52"/>
        <v>302499</v>
      </c>
    </row>
    <row r="347" spans="1:14" hidden="1" outlineLevel="1" x14ac:dyDescent="0.35">
      <c r="A347" s="93" t="s">
        <v>596</v>
      </c>
      <c r="B347" s="182" t="s">
        <v>597</v>
      </c>
      <c r="C347" s="26" t="s">
        <v>925</v>
      </c>
      <c r="D347" s="85"/>
      <c r="E347" s="63"/>
      <c r="F347" s="83"/>
      <c r="G347" s="64">
        <v>9220</v>
      </c>
      <c r="H347" s="85"/>
      <c r="I347" s="67"/>
      <c r="J347" s="71"/>
      <c r="K347" s="134">
        <f t="shared" si="51"/>
        <v>0</v>
      </c>
      <c r="L347" s="130">
        <f t="shared" si="52"/>
        <v>9220</v>
      </c>
    </row>
    <row r="348" spans="1:14" hidden="1" outlineLevel="1" x14ac:dyDescent="0.35">
      <c r="A348" s="93" t="s">
        <v>598</v>
      </c>
      <c r="B348" s="182" t="s">
        <v>599</v>
      </c>
      <c r="C348" s="26" t="s">
        <v>925</v>
      </c>
      <c r="D348" s="85"/>
      <c r="E348" s="63"/>
      <c r="F348" s="83"/>
      <c r="G348" s="64"/>
      <c r="H348" s="85"/>
      <c r="I348" s="67"/>
      <c r="J348" s="71"/>
      <c r="K348" s="134">
        <f t="shared" si="51"/>
        <v>0</v>
      </c>
      <c r="L348" s="130">
        <f t="shared" si="52"/>
        <v>0</v>
      </c>
    </row>
    <row r="349" spans="1:14" hidden="1" outlineLevel="1" x14ac:dyDescent="0.35">
      <c r="A349" s="93" t="s">
        <v>600</v>
      </c>
      <c r="B349" s="182" t="s">
        <v>601</v>
      </c>
      <c r="C349" s="26" t="s">
        <v>925</v>
      </c>
      <c r="D349" s="85"/>
      <c r="E349" s="63"/>
      <c r="F349" s="83"/>
      <c r="G349" s="64"/>
      <c r="H349" s="85"/>
      <c r="I349" s="67"/>
      <c r="J349" s="71"/>
      <c r="K349" s="134">
        <f t="shared" si="51"/>
        <v>0</v>
      </c>
      <c r="L349" s="130">
        <f t="shared" si="52"/>
        <v>0</v>
      </c>
    </row>
    <row r="350" spans="1:14" hidden="1" outlineLevel="1" x14ac:dyDescent="0.35">
      <c r="A350" s="93" t="s">
        <v>602</v>
      </c>
      <c r="B350" s="182" t="s">
        <v>603</v>
      </c>
      <c r="C350" s="26" t="s">
        <v>925</v>
      </c>
      <c r="D350" s="85"/>
      <c r="E350" s="63"/>
      <c r="F350" s="83"/>
      <c r="G350" s="64"/>
      <c r="H350" s="85"/>
      <c r="I350" s="67"/>
      <c r="J350" s="71"/>
      <c r="K350" s="134">
        <f t="shared" si="51"/>
        <v>0</v>
      </c>
      <c r="L350" s="130">
        <f t="shared" si="52"/>
        <v>0</v>
      </c>
    </row>
    <row r="351" spans="1:14" hidden="1" outlineLevel="1" x14ac:dyDescent="0.35">
      <c r="A351" s="93" t="s">
        <v>604</v>
      </c>
      <c r="B351" s="182" t="s">
        <v>605</v>
      </c>
      <c r="C351" s="26" t="s">
        <v>925</v>
      </c>
      <c r="D351" s="85"/>
      <c r="E351" s="63"/>
      <c r="F351" s="83"/>
      <c r="G351" s="64"/>
      <c r="H351" s="85"/>
      <c r="I351" s="67"/>
      <c r="J351" s="71"/>
      <c r="K351" s="134">
        <f t="shared" si="51"/>
        <v>0</v>
      </c>
      <c r="L351" s="130">
        <f t="shared" si="52"/>
        <v>0</v>
      </c>
    </row>
    <row r="352" spans="1:14" hidden="1" outlineLevel="1" x14ac:dyDescent="0.35">
      <c r="A352" s="93" t="s">
        <v>606</v>
      </c>
      <c r="B352" s="182" t="s">
        <v>607</v>
      </c>
      <c r="C352" s="26" t="s">
        <v>925</v>
      </c>
      <c r="D352" s="85"/>
      <c r="E352" s="63"/>
      <c r="F352" s="83"/>
      <c r="G352" s="64"/>
      <c r="H352" s="85"/>
      <c r="I352" s="67"/>
      <c r="J352" s="71"/>
      <c r="K352" s="134">
        <f t="shared" si="51"/>
        <v>0</v>
      </c>
      <c r="L352" s="130">
        <f t="shared" si="52"/>
        <v>0</v>
      </c>
    </row>
    <row r="353" spans="1:12" hidden="1" outlineLevel="1" x14ac:dyDescent="0.35">
      <c r="A353" s="93" t="s">
        <v>608</v>
      </c>
      <c r="B353" s="182" t="s">
        <v>609</v>
      </c>
      <c r="C353" s="26" t="s">
        <v>925</v>
      </c>
      <c r="D353" s="85"/>
      <c r="E353" s="63"/>
      <c r="F353" s="83"/>
      <c r="G353" s="64"/>
      <c r="H353" s="85"/>
      <c r="I353" s="67"/>
      <c r="J353" s="71"/>
      <c r="K353" s="134">
        <f t="shared" si="51"/>
        <v>0</v>
      </c>
      <c r="L353" s="130">
        <f t="shared" si="52"/>
        <v>0</v>
      </c>
    </row>
    <row r="354" spans="1:12" hidden="1" outlineLevel="1" x14ac:dyDescent="0.35">
      <c r="A354" s="93" t="s">
        <v>610</v>
      </c>
      <c r="B354" s="182" t="s">
        <v>611</v>
      </c>
      <c r="C354" s="26" t="s">
        <v>925</v>
      </c>
      <c r="D354" s="85"/>
      <c r="E354" s="63"/>
      <c r="F354" s="83"/>
      <c r="G354" s="64"/>
      <c r="H354" s="85"/>
      <c r="I354" s="67"/>
      <c r="J354" s="71"/>
      <c r="K354" s="134">
        <f t="shared" si="51"/>
        <v>0</v>
      </c>
      <c r="L354" s="130">
        <f t="shared" si="52"/>
        <v>0</v>
      </c>
    </row>
    <row r="355" spans="1:12" hidden="1" outlineLevel="1" x14ac:dyDescent="0.35">
      <c r="A355" s="93" t="s">
        <v>612</v>
      </c>
      <c r="B355" s="182" t="s">
        <v>613</v>
      </c>
      <c r="C355" s="26" t="s">
        <v>925</v>
      </c>
      <c r="D355" s="85"/>
      <c r="E355" s="63"/>
      <c r="F355" s="83"/>
      <c r="G355" s="64"/>
      <c r="H355" s="85"/>
      <c r="I355" s="67">
        <v>12438</v>
      </c>
      <c r="J355" s="71"/>
      <c r="K355" s="134">
        <f t="shared" si="51"/>
        <v>12438</v>
      </c>
      <c r="L355" s="130">
        <f t="shared" si="52"/>
        <v>12438</v>
      </c>
    </row>
    <row r="356" spans="1:12" hidden="1" outlineLevel="1" x14ac:dyDescent="0.35">
      <c r="A356" s="93" t="s">
        <v>614</v>
      </c>
      <c r="B356" s="182" t="s">
        <v>615</v>
      </c>
      <c r="C356" s="26" t="s">
        <v>925</v>
      </c>
      <c r="D356" s="85"/>
      <c r="E356" s="63"/>
      <c r="F356" s="83"/>
      <c r="G356" s="64"/>
      <c r="H356" s="85"/>
      <c r="I356" s="67"/>
      <c r="J356" s="71"/>
      <c r="K356" s="134">
        <f t="shared" si="51"/>
        <v>0</v>
      </c>
      <c r="L356" s="130">
        <f t="shared" si="52"/>
        <v>0</v>
      </c>
    </row>
    <row r="357" spans="1:12" hidden="1" outlineLevel="1" x14ac:dyDescent="0.35">
      <c r="A357" s="93" t="s">
        <v>616</v>
      </c>
      <c r="B357" s="182" t="s">
        <v>617</v>
      </c>
      <c r="C357" s="26" t="s">
        <v>925</v>
      </c>
      <c r="D357" s="85"/>
      <c r="E357" s="63"/>
      <c r="F357" s="83"/>
      <c r="G357" s="64"/>
      <c r="H357" s="85"/>
      <c r="I357" s="67">
        <v>-13047</v>
      </c>
      <c r="J357" s="71"/>
      <c r="K357" s="134">
        <f t="shared" si="51"/>
        <v>-13047</v>
      </c>
      <c r="L357" s="130">
        <f t="shared" si="52"/>
        <v>-13047</v>
      </c>
    </row>
    <row r="358" spans="1:12" hidden="1" outlineLevel="1" x14ac:dyDescent="0.35">
      <c r="A358" s="93" t="s">
        <v>618</v>
      </c>
      <c r="B358" s="182" t="s">
        <v>619</v>
      </c>
      <c r="C358" s="26" t="s">
        <v>925</v>
      </c>
      <c r="D358" s="85"/>
      <c r="E358" s="63"/>
      <c r="F358" s="83"/>
      <c r="G358" s="64"/>
      <c r="H358" s="85"/>
      <c r="I358" s="67"/>
      <c r="J358" s="71"/>
      <c r="K358" s="134">
        <f t="shared" si="51"/>
        <v>0</v>
      </c>
      <c r="L358" s="130">
        <f t="shared" si="52"/>
        <v>0</v>
      </c>
    </row>
    <row r="359" spans="1:12" hidden="1" outlineLevel="1" x14ac:dyDescent="0.35">
      <c r="A359" s="93" t="s">
        <v>620</v>
      </c>
      <c r="B359" s="182" t="s">
        <v>621</v>
      </c>
      <c r="C359" s="26" t="s">
        <v>925</v>
      </c>
      <c r="D359" s="85"/>
      <c r="E359" s="63">
        <v>80638</v>
      </c>
      <c r="F359" s="83"/>
      <c r="G359" s="64"/>
      <c r="H359" s="85"/>
      <c r="I359" s="67"/>
      <c r="J359" s="71"/>
      <c r="K359" s="134">
        <f t="shared" si="51"/>
        <v>0</v>
      </c>
      <c r="L359" s="130">
        <f t="shared" si="52"/>
        <v>80638</v>
      </c>
    </row>
    <row r="360" spans="1:12" hidden="1" outlineLevel="1" x14ac:dyDescent="0.35">
      <c r="A360" s="93" t="s">
        <v>622</v>
      </c>
      <c r="B360" s="182" t="s">
        <v>926</v>
      </c>
      <c r="C360" s="26" t="s">
        <v>925</v>
      </c>
      <c r="D360" s="85"/>
      <c r="E360" s="63"/>
      <c r="F360" s="83"/>
      <c r="G360" s="64">
        <v>13442</v>
      </c>
      <c r="H360" s="85"/>
      <c r="I360" s="67"/>
      <c r="J360" s="71"/>
      <c r="K360" s="134">
        <f t="shared" si="51"/>
        <v>0</v>
      </c>
      <c r="L360" s="130">
        <f t="shared" si="52"/>
        <v>13442</v>
      </c>
    </row>
    <row r="361" spans="1:12" hidden="1" outlineLevel="1" x14ac:dyDescent="0.35">
      <c r="A361" s="93" t="s">
        <v>623</v>
      </c>
      <c r="B361" s="182" t="s">
        <v>927</v>
      </c>
      <c r="C361" s="26" t="s">
        <v>925</v>
      </c>
      <c r="D361" s="85"/>
      <c r="E361" s="63"/>
      <c r="F361" s="83"/>
      <c r="G361" s="64"/>
      <c r="H361" s="85"/>
      <c r="I361" s="67"/>
      <c r="J361" s="71"/>
      <c r="K361" s="134">
        <f t="shared" si="51"/>
        <v>0</v>
      </c>
      <c r="L361" s="130">
        <f t="shared" si="52"/>
        <v>0</v>
      </c>
    </row>
    <row r="362" spans="1:12" hidden="1" outlineLevel="1" x14ac:dyDescent="0.35">
      <c r="A362" s="93" t="s">
        <v>624</v>
      </c>
      <c r="B362" s="182" t="s">
        <v>625</v>
      </c>
      <c r="C362" s="26" t="s">
        <v>925</v>
      </c>
      <c r="D362" s="85"/>
      <c r="E362" s="63"/>
      <c r="F362" s="83">
        <v>132096</v>
      </c>
      <c r="G362" s="64">
        <v>117050</v>
      </c>
      <c r="H362" s="85">
        <v>78831</v>
      </c>
      <c r="I362" s="67">
        <v>43136</v>
      </c>
      <c r="J362" s="71"/>
      <c r="K362" s="134">
        <f t="shared" si="51"/>
        <v>43136</v>
      </c>
      <c r="L362" s="130">
        <f t="shared" si="52"/>
        <v>371113</v>
      </c>
    </row>
    <row r="363" spans="1:12" hidden="1" outlineLevel="1" x14ac:dyDescent="0.35">
      <c r="A363" s="93" t="s">
        <v>626</v>
      </c>
      <c r="B363" s="182" t="s">
        <v>627</v>
      </c>
      <c r="C363" s="26" t="s">
        <v>925</v>
      </c>
      <c r="D363" s="85"/>
      <c r="E363" s="63"/>
      <c r="F363" s="83">
        <v>21520</v>
      </c>
      <c r="G363" s="64">
        <v>14991</v>
      </c>
      <c r="H363" s="85">
        <f>1898+9506</f>
        <v>11404</v>
      </c>
      <c r="I363" s="67">
        <v>7144</v>
      </c>
      <c r="J363" s="71"/>
      <c r="K363" s="134">
        <f t="shared" si="51"/>
        <v>7144</v>
      </c>
      <c r="L363" s="130">
        <f t="shared" si="52"/>
        <v>55059</v>
      </c>
    </row>
    <row r="364" spans="1:12" hidden="1" outlineLevel="1" x14ac:dyDescent="0.35">
      <c r="A364" s="93" t="s">
        <v>628</v>
      </c>
      <c r="B364" s="182" t="s">
        <v>629</v>
      </c>
      <c r="C364" s="26" t="s">
        <v>925</v>
      </c>
      <c r="D364" s="85"/>
      <c r="E364" s="63"/>
      <c r="F364" s="83">
        <v>70032</v>
      </c>
      <c r="G364" s="64">
        <v>18582</v>
      </c>
      <c r="H364" s="85">
        <v>36327</v>
      </c>
      <c r="I364" s="67">
        <v>13047</v>
      </c>
      <c r="J364" s="71"/>
      <c r="K364" s="134">
        <f t="shared" si="51"/>
        <v>13047</v>
      </c>
      <c r="L364" s="130">
        <f t="shared" si="52"/>
        <v>137988</v>
      </c>
    </row>
    <row r="365" spans="1:12" hidden="1" outlineLevel="1" x14ac:dyDescent="0.35">
      <c r="A365" s="93" t="s">
        <v>630</v>
      </c>
      <c r="B365" s="182" t="s">
        <v>631</v>
      </c>
      <c r="C365" s="26" t="s">
        <v>925</v>
      </c>
      <c r="D365" s="85"/>
      <c r="E365" s="63"/>
      <c r="F365" s="83"/>
      <c r="G365" s="64"/>
      <c r="H365" s="85"/>
      <c r="I365" s="67"/>
      <c r="J365" s="71"/>
      <c r="K365" s="134">
        <f t="shared" si="51"/>
        <v>0</v>
      </c>
      <c r="L365" s="130">
        <f t="shared" si="52"/>
        <v>0</v>
      </c>
    </row>
    <row r="366" spans="1:12" hidden="1" outlineLevel="1" x14ac:dyDescent="0.35">
      <c r="A366" s="93" t="s">
        <v>632</v>
      </c>
      <c r="B366" s="182" t="s">
        <v>633</v>
      </c>
      <c r="C366" s="26" t="s">
        <v>925</v>
      </c>
      <c r="D366" s="85"/>
      <c r="E366" s="63"/>
      <c r="F366" s="83"/>
      <c r="G366" s="64">
        <v>5</v>
      </c>
      <c r="H366" s="85"/>
      <c r="I366" s="67"/>
      <c r="J366" s="71"/>
      <c r="K366" s="134">
        <f t="shared" si="51"/>
        <v>0</v>
      </c>
      <c r="L366" s="130">
        <f t="shared" si="52"/>
        <v>5</v>
      </c>
    </row>
    <row r="367" spans="1:12" hidden="1" outlineLevel="1" x14ac:dyDescent="0.35">
      <c r="A367" s="93" t="s">
        <v>634</v>
      </c>
      <c r="B367" s="182" t="s">
        <v>635</v>
      </c>
      <c r="C367" s="26" t="s">
        <v>925</v>
      </c>
      <c r="D367" s="85"/>
      <c r="E367" s="63"/>
      <c r="F367" s="83"/>
      <c r="G367" s="64"/>
      <c r="H367" s="85"/>
      <c r="I367" s="67"/>
      <c r="J367" s="71"/>
      <c r="K367" s="134">
        <f t="shared" si="51"/>
        <v>0</v>
      </c>
      <c r="L367" s="130">
        <f t="shared" si="52"/>
        <v>0</v>
      </c>
    </row>
    <row r="368" spans="1:12" hidden="1" outlineLevel="1" x14ac:dyDescent="0.35">
      <c r="A368" s="93" t="s">
        <v>636</v>
      </c>
      <c r="B368" s="182" t="s">
        <v>637</v>
      </c>
      <c r="C368" s="26" t="s">
        <v>925</v>
      </c>
      <c r="D368" s="85"/>
      <c r="E368" s="63"/>
      <c r="F368" s="83">
        <v>-360089</v>
      </c>
      <c r="G368" s="64">
        <v>-331</v>
      </c>
      <c r="H368" s="85"/>
      <c r="I368" s="67">
        <v>-144572</v>
      </c>
      <c r="J368" s="71"/>
      <c r="K368" s="134">
        <f t="shared" si="51"/>
        <v>-144572</v>
      </c>
      <c r="L368" s="130">
        <f t="shared" si="52"/>
        <v>-504992</v>
      </c>
    </row>
    <row r="369" spans="1:12" hidden="1" outlineLevel="1" x14ac:dyDescent="0.35">
      <c r="A369" s="93" t="s">
        <v>638</v>
      </c>
      <c r="B369" s="182" t="s">
        <v>639</v>
      </c>
      <c r="C369" s="26" t="s">
        <v>925</v>
      </c>
      <c r="D369" s="85"/>
      <c r="E369" s="63"/>
      <c r="F369" s="83"/>
      <c r="G369" s="64">
        <v>-331</v>
      </c>
      <c r="H369" s="85"/>
      <c r="I369" s="67"/>
      <c r="J369" s="71"/>
      <c r="K369" s="134">
        <f t="shared" si="51"/>
        <v>0</v>
      </c>
      <c r="L369" s="130">
        <f t="shared" si="52"/>
        <v>-331</v>
      </c>
    </row>
    <row r="370" spans="1:12" hidden="1" outlineLevel="1" x14ac:dyDescent="0.35">
      <c r="A370" s="93" t="s">
        <v>640</v>
      </c>
      <c r="B370" s="182" t="s">
        <v>641</v>
      </c>
      <c r="C370" s="26" t="s">
        <v>925</v>
      </c>
      <c r="D370" s="85"/>
      <c r="E370" s="63"/>
      <c r="F370" s="83"/>
      <c r="G370" s="64">
        <v>331</v>
      </c>
      <c r="H370" s="85"/>
      <c r="I370" s="67"/>
      <c r="J370" s="71"/>
      <c r="K370" s="134">
        <f t="shared" si="51"/>
        <v>0</v>
      </c>
      <c r="L370" s="130">
        <f t="shared" si="52"/>
        <v>331</v>
      </c>
    </row>
    <row r="371" spans="1:12" hidden="1" outlineLevel="1" x14ac:dyDescent="0.35">
      <c r="A371" s="93" t="s">
        <v>642</v>
      </c>
      <c r="B371" s="182" t="s">
        <v>643</v>
      </c>
      <c r="C371" s="26" t="s">
        <v>925</v>
      </c>
      <c r="D371" s="85"/>
      <c r="E371" s="63"/>
      <c r="F371" s="83"/>
      <c r="G371" s="64"/>
      <c r="H371" s="85"/>
      <c r="I371" s="67"/>
      <c r="J371" s="71"/>
      <c r="K371" s="134">
        <f t="shared" si="51"/>
        <v>0</v>
      </c>
      <c r="L371" s="130">
        <f t="shared" si="52"/>
        <v>0</v>
      </c>
    </row>
    <row r="372" spans="1:12" hidden="1" outlineLevel="1" x14ac:dyDescent="0.35">
      <c r="A372" s="93" t="s">
        <v>644</v>
      </c>
      <c r="B372" s="182" t="s">
        <v>645</v>
      </c>
      <c r="C372" s="26" t="s">
        <v>925</v>
      </c>
      <c r="D372" s="85"/>
      <c r="E372" s="63"/>
      <c r="F372" s="83"/>
      <c r="G372" s="64"/>
      <c r="H372" s="85"/>
      <c r="I372" s="67"/>
      <c r="J372" s="71"/>
      <c r="K372" s="134">
        <f t="shared" si="51"/>
        <v>0</v>
      </c>
      <c r="L372" s="130">
        <f t="shared" si="52"/>
        <v>0</v>
      </c>
    </row>
    <row r="373" spans="1:12" hidden="1" outlineLevel="1" x14ac:dyDescent="0.35">
      <c r="A373" s="93" t="s">
        <v>646</v>
      </c>
      <c r="B373" s="182" t="s">
        <v>647</v>
      </c>
      <c r="C373" s="26" t="s">
        <v>925</v>
      </c>
      <c r="D373" s="85"/>
      <c r="E373" s="63"/>
      <c r="F373" s="83"/>
      <c r="G373" s="64"/>
      <c r="H373" s="85"/>
      <c r="I373" s="67"/>
      <c r="J373" s="71"/>
      <c r="K373" s="134">
        <f t="shared" si="51"/>
        <v>0</v>
      </c>
      <c r="L373" s="130">
        <f t="shared" si="52"/>
        <v>0</v>
      </c>
    </row>
    <row r="374" spans="1:12" hidden="1" outlineLevel="1" x14ac:dyDescent="0.35">
      <c r="A374" s="93" t="s">
        <v>648</v>
      </c>
      <c r="B374" s="182" t="s">
        <v>649</v>
      </c>
      <c r="C374" s="26" t="s">
        <v>925</v>
      </c>
      <c r="D374" s="85"/>
      <c r="E374" s="63"/>
      <c r="F374" s="83"/>
      <c r="G374" s="64"/>
      <c r="H374" s="85"/>
      <c r="I374" s="67"/>
      <c r="J374" s="71"/>
      <c r="K374" s="134">
        <f t="shared" si="51"/>
        <v>0</v>
      </c>
      <c r="L374" s="130">
        <f t="shared" si="52"/>
        <v>0</v>
      </c>
    </row>
    <row r="375" spans="1:12" hidden="1" outlineLevel="1" x14ac:dyDescent="0.35">
      <c r="A375" s="93" t="s">
        <v>650</v>
      </c>
      <c r="B375" s="182" t="s">
        <v>651</v>
      </c>
      <c r="C375" s="26" t="s">
        <v>925</v>
      </c>
      <c r="D375" s="85"/>
      <c r="E375" s="63"/>
      <c r="F375" s="83"/>
      <c r="G375" s="64"/>
      <c r="H375" s="85"/>
      <c r="I375" s="67"/>
      <c r="J375" s="71"/>
      <c r="K375" s="134">
        <f t="shared" si="51"/>
        <v>0</v>
      </c>
      <c r="L375" s="130">
        <f t="shared" si="52"/>
        <v>0</v>
      </c>
    </row>
    <row r="376" spans="1:12" hidden="1" outlineLevel="1" x14ac:dyDescent="0.35">
      <c r="A376" s="93" t="s">
        <v>652</v>
      </c>
      <c r="B376" s="182" t="s">
        <v>653</v>
      </c>
      <c r="C376" s="26" t="s">
        <v>925</v>
      </c>
      <c r="D376" s="85"/>
      <c r="E376" s="63"/>
      <c r="F376" s="83"/>
      <c r="G376" s="64">
        <v>1096</v>
      </c>
      <c r="H376" s="85"/>
      <c r="I376" s="67"/>
      <c r="J376" s="71"/>
      <c r="K376" s="134">
        <f t="shared" si="51"/>
        <v>0</v>
      </c>
      <c r="L376" s="130">
        <f t="shared" si="52"/>
        <v>1096</v>
      </c>
    </row>
    <row r="377" spans="1:12" hidden="1" outlineLevel="1" x14ac:dyDescent="0.35">
      <c r="A377" s="93" t="s">
        <v>654</v>
      </c>
      <c r="B377" s="182" t="s">
        <v>655</v>
      </c>
      <c r="C377" s="26" t="s">
        <v>925</v>
      </c>
      <c r="D377" s="85"/>
      <c r="E377" s="63"/>
      <c r="F377" s="83"/>
      <c r="G377" s="64"/>
      <c r="H377" s="85"/>
      <c r="I377" s="67"/>
      <c r="J377" s="71"/>
      <c r="K377" s="134">
        <f t="shared" si="51"/>
        <v>0</v>
      </c>
      <c r="L377" s="130">
        <f t="shared" si="52"/>
        <v>0</v>
      </c>
    </row>
    <row r="378" spans="1:12" hidden="1" outlineLevel="1" x14ac:dyDescent="0.35">
      <c r="A378" s="102" t="s">
        <v>656</v>
      </c>
      <c r="B378" s="192" t="s">
        <v>657</v>
      </c>
      <c r="C378" s="26" t="s">
        <v>925</v>
      </c>
      <c r="D378" s="85"/>
      <c r="E378" s="63"/>
      <c r="F378" s="83"/>
      <c r="G378" s="64"/>
      <c r="H378" s="85"/>
      <c r="I378" s="67"/>
      <c r="J378" s="71"/>
      <c r="K378" s="134">
        <f t="shared" si="51"/>
        <v>0</v>
      </c>
      <c r="L378" s="130">
        <f t="shared" si="52"/>
        <v>0</v>
      </c>
    </row>
    <row r="379" spans="1:12" hidden="1" outlineLevel="1" x14ac:dyDescent="0.35">
      <c r="A379" s="102" t="s">
        <v>658</v>
      </c>
      <c r="B379" s="192" t="s">
        <v>659</v>
      </c>
      <c r="C379" s="26" t="s">
        <v>925</v>
      </c>
      <c r="D379" s="85"/>
      <c r="E379" s="63"/>
      <c r="F379" s="83"/>
      <c r="G379" s="64"/>
      <c r="H379" s="85"/>
      <c r="I379" s="67"/>
      <c r="J379" s="71"/>
      <c r="K379" s="134">
        <f t="shared" si="51"/>
        <v>0</v>
      </c>
      <c r="L379" s="130">
        <f t="shared" si="52"/>
        <v>0</v>
      </c>
    </row>
    <row r="380" spans="1:12" hidden="1" outlineLevel="1" x14ac:dyDescent="0.35">
      <c r="A380" s="93" t="s">
        <v>660</v>
      </c>
      <c r="B380" s="182" t="s">
        <v>661</v>
      </c>
      <c r="C380" s="26" t="s">
        <v>925</v>
      </c>
      <c r="D380" s="85"/>
      <c r="E380" s="63"/>
      <c r="F380" s="83"/>
      <c r="G380" s="64"/>
      <c r="H380" s="85"/>
      <c r="I380" s="67"/>
      <c r="J380" s="71"/>
      <c r="K380" s="134">
        <f t="shared" si="51"/>
        <v>0</v>
      </c>
      <c r="L380" s="130">
        <f t="shared" si="52"/>
        <v>0</v>
      </c>
    </row>
    <row r="381" spans="1:12" hidden="1" outlineLevel="1" x14ac:dyDescent="0.35">
      <c r="A381" s="93" t="s">
        <v>662</v>
      </c>
      <c r="B381" s="182" t="s">
        <v>663</v>
      </c>
      <c r="C381" s="26" t="s">
        <v>925</v>
      </c>
      <c r="D381" s="85"/>
      <c r="E381" s="63"/>
      <c r="F381" s="83"/>
      <c r="G381" s="64">
        <v>18582</v>
      </c>
      <c r="H381" s="85"/>
      <c r="I381" s="67"/>
      <c r="J381" s="71"/>
      <c r="K381" s="134">
        <f t="shared" si="51"/>
        <v>0</v>
      </c>
      <c r="L381" s="130">
        <f t="shared" si="52"/>
        <v>18582</v>
      </c>
    </row>
    <row r="382" spans="1:12" hidden="1" outlineLevel="1" x14ac:dyDescent="0.35">
      <c r="A382" s="93" t="s">
        <v>664</v>
      </c>
      <c r="B382" s="182" t="s">
        <v>665</v>
      </c>
      <c r="C382" s="26" t="s">
        <v>925</v>
      </c>
      <c r="D382" s="85"/>
      <c r="E382" s="63"/>
      <c r="F382" s="83"/>
      <c r="G382" s="64">
        <v>-18582</v>
      </c>
      <c r="H382" s="85"/>
      <c r="I382" s="67"/>
      <c r="J382" s="71"/>
      <c r="K382" s="134">
        <f t="shared" si="51"/>
        <v>0</v>
      </c>
      <c r="L382" s="130">
        <f t="shared" si="52"/>
        <v>-18582</v>
      </c>
    </row>
    <row r="383" spans="1:12" hidden="1" outlineLevel="1" x14ac:dyDescent="0.35">
      <c r="A383" s="93" t="s">
        <v>666</v>
      </c>
      <c r="B383" s="182" t="s">
        <v>667</v>
      </c>
      <c r="C383" s="26" t="s">
        <v>925</v>
      </c>
      <c r="D383" s="85"/>
      <c r="E383" s="63"/>
      <c r="F383" s="83"/>
      <c r="G383" s="64">
        <v>4456</v>
      </c>
      <c r="H383" s="85"/>
      <c r="I383" s="67"/>
      <c r="J383" s="71"/>
      <c r="K383" s="134">
        <f t="shared" si="51"/>
        <v>0</v>
      </c>
      <c r="L383" s="130">
        <f t="shared" si="52"/>
        <v>4456</v>
      </c>
    </row>
    <row r="384" spans="1:12" hidden="1" outlineLevel="1" x14ac:dyDescent="0.35">
      <c r="A384" s="93" t="s">
        <v>668</v>
      </c>
      <c r="B384" s="182" t="s">
        <v>669</v>
      </c>
      <c r="C384" s="26" t="s">
        <v>925</v>
      </c>
      <c r="D384" s="85"/>
      <c r="E384" s="63"/>
      <c r="F384" s="83"/>
      <c r="G384" s="64"/>
      <c r="H384" s="85"/>
      <c r="I384" s="67"/>
      <c r="J384" s="71"/>
      <c r="K384" s="134">
        <f t="shared" si="51"/>
        <v>0</v>
      </c>
      <c r="L384" s="130">
        <f t="shared" si="52"/>
        <v>0</v>
      </c>
    </row>
    <row r="385" spans="1:12" hidden="1" outlineLevel="1" x14ac:dyDescent="0.35">
      <c r="A385" s="93" t="s">
        <v>670</v>
      </c>
      <c r="B385" s="182" t="s">
        <v>671</v>
      </c>
      <c r="C385" s="26" t="s">
        <v>925</v>
      </c>
      <c r="D385" s="85"/>
      <c r="E385" s="63"/>
      <c r="F385" s="83"/>
      <c r="G385" s="64"/>
      <c r="H385" s="85"/>
      <c r="I385" s="67"/>
      <c r="J385" s="71"/>
      <c r="K385" s="134">
        <f t="shared" si="51"/>
        <v>0</v>
      </c>
      <c r="L385" s="130">
        <f t="shared" si="52"/>
        <v>0</v>
      </c>
    </row>
    <row r="386" spans="1:12" collapsed="1" x14ac:dyDescent="0.35">
      <c r="A386" s="93"/>
      <c r="B386" s="182" t="s">
        <v>928</v>
      </c>
      <c r="C386" s="26"/>
      <c r="D386" s="85">
        <f>SUM(D387:D391)</f>
        <v>0</v>
      </c>
      <c r="E386" s="65">
        <f t="shared" ref="E386:I386" si="53">SUM(E387:E391)</f>
        <v>0</v>
      </c>
      <c r="F386" s="85">
        <f t="shared" si="53"/>
        <v>57697</v>
      </c>
      <c r="G386" s="65">
        <f t="shared" si="53"/>
        <v>194314</v>
      </c>
      <c r="H386" s="85">
        <f t="shared" si="53"/>
        <v>107967</v>
      </c>
      <c r="I386" s="85">
        <f t="shared" si="53"/>
        <v>0</v>
      </c>
      <c r="J386" s="71"/>
      <c r="K386" s="134">
        <f t="shared" si="51"/>
        <v>0</v>
      </c>
      <c r="L386" s="130">
        <f t="shared" si="52"/>
        <v>359978</v>
      </c>
    </row>
    <row r="387" spans="1:12" hidden="1" outlineLevel="1" x14ac:dyDescent="0.35">
      <c r="A387" s="93" t="s">
        <v>672</v>
      </c>
      <c r="B387" s="182" t="s">
        <v>673</v>
      </c>
      <c r="C387" s="26" t="s">
        <v>928</v>
      </c>
      <c r="D387" s="85"/>
      <c r="E387" s="63"/>
      <c r="F387" s="83"/>
      <c r="G387" s="64">
        <v>152395</v>
      </c>
      <c r="H387" s="85"/>
      <c r="I387" s="67"/>
      <c r="J387" s="71">
        <f t="shared" ref="J387:J390" si="54">D387+E387+F387+G387+H387</f>
        <v>152395</v>
      </c>
      <c r="K387" s="134">
        <f t="shared" si="51"/>
        <v>152395</v>
      </c>
      <c r="L387" s="130">
        <f t="shared" si="52"/>
        <v>304790</v>
      </c>
    </row>
    <row r="388" spans="1:12" hidden="1" outlineLevel="1" x14ac:dyDescent="0.35">
      <c r="A388" s="93" t="s">
        <v>674</v>
      </c>
      <c r="B388" s="182" t="s">
        <v>46</v>
      </c>
      <c r="C388" s="26" t="s">
        <v>928</v>
      </c>
      <c r="D388" s="85"/>
      <c r="E388" s="63"/>
      <c r="F388" s="83"/>
      <c r="G388" s="64"/>
      <c r="H388" s="85"/>
      <c r="I388" s="67"/>
      <c r="J388" s="71">
        <f t="shared" si="54"/>
        <v>0</v>
      </c>
      <c r="K388" s="134">
        <f t="shared" si="51"/>
        <v>0</v>
      </c>
      <c r="L388" s="130">
        <f t="shared" si="52"/>
        <v>0</v>
      </c>
    </row>
    <row r="389" spans="1:12" hidden="1" outlineLevel="1" x14ac:dyDescent="0.35">
      <c r="A389" s="93" t="s">
        <v>675</v>
      </c>
      <c r="B389" s="182" t="s">
        <v>676</v>
      </c>
      <c r="C389" s="26" t="s">
        <v>928</v>
      </c>
      <c r="D389" s="85"/>
      <c r="E389" s="63"/>
      <c r="F389" s="83">
        <v>57697</v>
      </c>
      <c r="G389" s="64">
        <v>41919</v>
      </c>
      <c r="H389" s="116">
        <v>107967</v>
      </c>
      <c r="I389" s="67"/>
      <c r="J389" s="71">
        <f t="shared" si="54"/>
        <v>207583</v>
      </c>
      <c r="K389" s="134">
        <f t="shared" si="51"/>
        <v>207583</v>
      </c>
      <c r="L389" s="130">
        <f t="shared" si="52"/>
        <v>415166</v>
      </c>
    </row>
    <row r="390" spans="1:12" hidden="1" outlineLevel="1" x14ac:dyDescent="0.35">
      <c r="A390" s="93" t="s">
        <v>677</v>
      </c>
      <c r="B390" s="182" t="s">
        <v>678</v>
      </c>
      <c r="C390" s="26" t="s">
        <v>928</v>
      </c>
      <c r="D390" s="85"/>
      <c r="E390" s="63"/>
      <c r="F390" s="83"/>
      <c r="G390" s="64"/>
      <c r="H390" s="85"/>
      <c r="I390" s="67"/>
      <c r="J390" s="71">
        <f t="shared" si="54"/>
        <v>0</v>
      </c>
      <c r="K390" s="134">
        <f t="shared" si="51"/>
        <v>0</v>
      </c>
      <c r="L390" s="130">
        <f t="shared" si="52"/>
        <v>0</v>
      </c>
    </row>
    <row r="391" spans="1:12" collapsed="1" x14ac:dyDescent="0.35">
      <c r="A391" s="93" t="s">
        <v>679</v>
      </c>
      <c r="B391" s="182" t="s">
        <v>680</v>
      </c>
      <c r="C391" s="26" t="s">
        <v>929</v>
      </c>
      <c r="D391" s="85"/>
      <c r="E391" s="63"/>
      <c r="F391" s="83"/>
      <c r="G391" s="64"/>
      <c r="H391" s="85"/>
      <c r="I391" s="67"/>
      <c r="J391" s="71"/>
      <c r="K391" s="134">
        <f t="shared" si="51"/>
        <v>0</v>
      </c>
      <c r="L391" s="130">
        <f t="shared" si="52"/>
        <v>0</v>
      </c>
    </row>
    <row r="392" spans="1:12" s="24" customFormat="1" collapsed="1" x14ac:dyDescent="0.35">
      <c r="A392" s="99"/>
      <c r="B392" s="184" t="s">
        <v>930</v>
      </c>
      <c r="C392" s="97"/>
      <c r="D392" s="89">
        <f>SUM(D393:D470)</f>
        <v>1824358</v>
      </c>
      <c r="E392" s="80">
        <f>SUM(E393:E470)</f>
        <v>624603</v>
      </c>
      <c r="F392" s="89">
        <f>SUM(F393:F471)</f>
        <v>1343228</v>
      </c>
      <c r="G392" s="89">
        <f>SUM(G393:G471)</f>
        <v>2360779</v>
      </c>
      <c r="H392" s="89">
        <f>SUM(H393:H471)</f>
        <v>1865208</v>
      </c>
      <c r="I392" s="89">
        <f>SUM(I393:I471)</f>
        <v>238928</v>
      </c>
      <c r="J392" s="71">
        <f>J471</f>
        <v>365757</v>
      </c>
      <c r="K392" s="134">
        <f>I392+J392</f>
        <v>604685</v>
      </c>
      <c r="L392" s="130">
        <f t="shared" si="52"/>
        <v>8622861</v>
      </c>
    </row>
    <row r="393" spans="1:12" hidden="1" outlineLevel="1" x14ac:dyDescent="0.35">
      <c r="A393" s="93" t="s">
        <v>681</v>
      </c>
      <c r="B393" s="182" t="s">
        <v>682</v>
      </c>
      <c r="C393" s="26" t="s">
        <v>930</v>
      </c>
      <c r="D393" s="85"/>
      <c r="E393" s="63"/>
      <c r="F393" s="83"/>
      <c r="G393" s="64"/>
      <c r="H393" s="85"/>
      <c r="I393" s="67"/>
      <c r="J393" s="71"/>
      <c r="K393" s="134">
        <f t="shared" si="51"/>
        <v>0</v>
      </c>
      <c r="L393" s="130">
        <f t="shared" si="52"/>
        <v>0</v>
      </c>
    </row>
    <row r="394" spans="1:12" hidden="1" outlineLevel="1" x14ac:dyDescent="0.35">
      <c r="A394" s="93" t="s">
        <v>683</v>
      </c>
      <c r="B394" s="182" t="s">
        <v>684</v>
      </c>
      <c r="C394" s="26" t="s">
        <v>930</v>
      </c>
      <c r="D394" s="85"/>
      <c r="E394" s="63"/>
      <c r="F394" s="83"/>
      <c r="G394" s="64"/>
      <c r="H394" s="85"/>
      <c r="I394" s="67"/>
      <c r="J394" s="71"/>
      <c r="K394" s="134">
        <f t="shared" si="51"/>
        <v>0</v>
      </c>
      <c r="L394" s="130">
        <f t="shared" si="52"/>
        <v>0</v>
      </c>
    </row>
    <row r="395" spans="1:12" hidden="1" outlineLevel="1" x14ac:dyDescent="0.35">
      <c r="A395" s="93" t="s">
        <v>685</v>
      </c>
      <c r="B395" s="182" t="s">
        <v>686</v>
      </c>
      <c r="C395" s="26" t="s">
        <v>930</v>
      </c>
      <c r="D395" s="85"/>
      <c r="E395" s="63"/>
      <c r="F395" s="83"/>
      <c r="G395" s="64"/>
      <c r="H395" s="85"/>
      <c r="I395" s="67"/>
      <c r="J395" s="71"/>
      <c r="K395" s="134">
        <f t="shared" si="51"/>
        <v>0</v>
      </c>
      <c r="L395" s="130">
        <f t="shared" si="52"/>
        <v>0</v>
      </c>
    </row>
    <row r="396" spans="1:12" hidden="1" outlineLevel="1" x14ac:dyDescent="0.35">
      <c r="A396" s="93" t="s">
        <v>687</v>
      </c>
      <c r="B396" s="182" t="s">
        <v>688</v>
      </c>
      <c r="C396" s="26" t="s">
        <v>930</v>
      </c>
      <c r="D396" s="85"/>
      <c r="E396" s="63"/>
      <c r="F396" s="83"/>
      <c r="G396" s="64"/>
      <c r="H396" s="85"/>
      <c r="I396" s="67"/>
      <c r="J396" s="71"/>
      <c r="K396" s="134">
        <f t="shared" si="51"/>
        <v>0</v>
      </c>
      <c r="L396" s="130">
        <f t="shared" si="52"/>
        <v>0</v>
      </c>
    </row>
    <row r="397" spans="1:12" hidden="1" outlineLevel="1" x14ac:dyDescent="0.35">
      <c r="A397" s="93" t="s">
        <v>689</v>
      </c>
      <c r="B397" s="182" t="s">
        <v>690</v>
      </c>
      <c r="C397" s="26" t="s">
        <v>930</v>
      </c>
      <c r="D397" s="85"/>
      <c r="E397" s="63"/>
      <c r="F397" s="83"/>
      <c r="G397" s="64"/>
      <c r="H397" s="85">
        <v>30600</v>
      </c>
      <c r="I397" s="67"/>
      <c r="J397" s="71"/>
      <c r="K397" s="134">
        <f t="shared" si="51"/>
        <v>0</v>
      </c>
      <c r="L397" s="130">
        <f t="shared" si="52"/>
        <v>30600</v>
      </c>
    </row>
    <row r="398" spans="1:12" hidden="1" outlineLevel="1" x14ac:dyDescent="0.35">
      <c r="A398" s="93" t="s">
        <v>691</v>
      </c>
      <c r="B398" s="182" t="s">
        <v>692</v>
      </c>
      <c r="C398" s="26" t="s">
        <v>930</v>
      </c>
      <c r="D398" s="85"/>
      <c r="E398" s="63"/>
      <c r="F398" s="83">
        <f>17820+185298</f>
        <v>203118</v>
      </c>
      <c r="G398" s="64">
        <v>65186</v>
      </c>
      <c r="H398" s="85">
        <v>97453</v>
      </c>
      <c r="I398" s="67">
        <v>24324</v>
      </c>
      <c r="J398" s="71"/>
      <c r="K398" s="134">
        <f t="shared" si="51"/>
        <v>24324</v>
      </c>
      <c r="L398" s="130">
        <f t="shared" si="52"/>
        <v>390081</v>
      </c>
    </row>
    <row r="399" spans="1:12" hidden="1" outlineLevel="1" x14ac:dyDescent="0.35">
      <c r="A399" s="93" t="s">
        <v>693</v>
      </c>
      <c r="B399" s="182" t="s">
        <v>694</v>
      </c>
      <c r="C399" s="26" t="s">
        <v>930</v>
      </c>
      <c r="D399" s="85"/>
      <c r="E399" s="63"/>
      <c r="F399" s="83">
        <v>25884</v>
      </c>
      <c r="G399" s="64">
        <v>4161</v>
      </c>
      <c r="H399" s="85">
        <v>2090</v>
      </c>
      <c r="I399" s="67"/>
      <c r="J399" s="71"/>
      <c r="K399" s="134">
        <f t="shared" si="51"/>
        <v>0</v>
      </c>
      <c r="L399" s="130">
        <f t="shared" si="52"/>
        <v>32135</v>
      </c>
    </row>
    <row r="400" spans="1:12" hidden="1" outlineLevel="1" x14ac:dyDescent="0.35">
      <c r="A400" s="93" t="s">
        <v>695</v>
      </c>
      <c r="B400" s="182" t="s">
        <v>696</v>
      </c>
      <c r="C400" s="26" t="s">
        <v>930</v>
      </c>
      <c r="D400" s="85">
        <v>6431</v>
      </c>
      <c r="E400" s="63">
        <v>11309</v>
      </c>
      <c r="F400" s="83"/>
      <c r="G400" s="64">
        <v>18084</v>
      </c>
      <c r="H400" s="85"/>
      <c r="I400" s="67"/>
      <c r="J400" s="71"/>
      <c r="K400" s="134">
        <f t="shared" si="51"/>
        <v>0</v>
      </c>
      <c r="L400" s="130">
        <f t="shared" si="52"/>
        <v>35824</v>
      </c>
    </row>
    <row r="401" spans="1:12" hidden="1" outlineLevel="1" x14ac:dyDescent="0.35">
      <c r="A401" s="93" t="s">
        <v>697</v>
      </c>
      <c r="B401" s="182" t="s">
        <v>698</v>
      </c>
      <c r="C401" s="26" t="s">
        <v>930</v>
      </c>
      <c r="D401" s="85">
        <v>10894</v>
      </c>
      <c r="E401" s="63">
        <v>18067</v>
      </c>
      <c r="F401" s="83">
        <v>34887</v>
      </c>
      <c r="G401" s="64">
        <v>93923</v>
      </c>
      <c r="H401" s="85">
        <v>67125</v>
      </c>
      <c r="I401" s="67"/>
      <c r="J401" s="71"/>
      <c r="K401" s="134">
        <f t="shared" si="51"/>
        <v>0</v>
      </c>
      <c r="L401" s="130">
        <f t="shared" si="52"/>
        <v>224896</v>
      </c>
    </row>
    <row r="402" spans="1:12" hidden="1" outlineLevel="1" x14ac:dyDescent="0.35">
      <c r="A402" s="93" t="s">
        <v>699</v>
      </c>
      <c r="B402" s="182" t="s">
        <v>700</v>
      </c>
      <c r="C402" s="26" t="s">
        <v>930</v>
      </c>
      <c r="D402" s="83">
        <v>716</v>
      </c>
      <c r="E402" s="63"/>
      <c r="F402" s="83"/>
      <c r="G402" s="64">
        <v>668</v>
      </c>
      <c r="H402" s="85">
        <v>29319</v>
      </c>
      <c r="I402" s="67"/>
      <c r="J402" s="71"/>
      <c r="K402" s="134">
        <f t="shared" si="51"/>
        <v>0</v>
      </c>
      <c r="L402" s="130">
        <f t="shared" si="52"/>
        <v>30703</v>
      </c>
    </row>
    <row r="403" spans="1:12" hidden="1" outlineLevel="1" x14ac:dyDescent="0.35">
      <c r="A403" s="93" t="s">
        <v>701</v>
      </c>
      <c r="B403" s="182" t="s">
        <v>702</v>
      </c>
      <c r="C403" s="26" t="s">
        <v>930</v>
      </c>
      <c r="D403" s="85"/>
      <c r="E403" s="63"/>
      <c r="F403" s="83"/>
      <c r="G403" s="64"/>
      <c r="H403" s="85"/>
      <c r="I403" s="67"/>
      <c r="J403" s="71"/>
      <c r="K403" s="134">
        <f t="shared" si="51"/>
        <v>0</v>
      </c>
      <c r="L403" s="130">
        <f t="shared" si="52"/>
        <v>0</v>
      </c>
    </row>
    <row r="404" spans="1:12" hidden="1" outlineLevel="1" x14ac:dyDescent="0.35">
      <c r="A404" s="93" t="s">
        <v>703</v>
      </c>
      <c r="B404" s="182" t="s">
        <v>704</v>
      </c>
      <c r="C404" s="26" t="s">
        <v>930</v>
      </c>
      <c r="D404" s="85"/>
      <c r="E404" s="63"/>
      <c r="F404" s="83"/>
      <c r="G404" s="64"/>
      <c r="H404" s="85"/>
      <c r="I404" s="67"/>
      <c r="J404" s="71"/>
      <c r="K404" s="134">
        <f t="shared" si="51"/>
        <v>0</v>
      </c>
      <c r="L404" s="130">
        <f t="shared" si="52"/>
        <v>0</v>
      </c>
    </row>
    <row r="405" spans="1:12" hidden="1" outlineLevel="1" x14ac:dyDescent="0.35">
      <c r="A405" s="93" t="s">
        <v>705</v>
      </c>
      <c r="B405" s="182" t="s">
        <v>706</v>
      </c>
      <c r="C405" s="26" t="s">
        <v>930</v>
      </c>
      <c r="D405" s="85"/>
      <c r="E405" s="63"/>
      <c r="F405" s="83"/>
      <c r="G405" s="64">
        <v>383023</v>
      </c>
      <c r="H405" s="85"/>
      <c r="I405" s="67"/>
      <c r="J405" s="71"/>
      <c r="K405" s="134">
        <f t="shared" si="51"/>
        <v>0</v>
      </c>
      <c r="L405" s="130">
        <f t="shared" si="52"/>
        <v>383023</v>
      </c>
    </row>
    <row r="406" spans="1:12" hidden="1" outlineLevel="1" x14ac:dyDescent="0.35">
      <c r="A406" s="93" t="s">
        <v>707</v>
      </c>
      <c r="B406" s="182" t="s">
        <v>708</v>
      </c>
      <c r="C406" s="26" t="s">
        <v>930</v>
      </c>
      <c r="D406" s="85"/>
      <c r="E406" s="63"/>
      <c r="F406" s="83"/>
      <c r="G406" s="64"/>
      <c r="H406" s="85"/>
      <c r="I406" s="67"/>
      <c r="J406" s="71"/>
      <c r="K406" s="134">
        <f t="shared" si="51"/>
        <v>0</v>
      </c>
      <c r="L406" s="130">
        <f t="shared" si="52"/>
        <v>0</v>
      </c>
    </row>
    <row r="407" spans="1:12" hidden="1" outlineLevel="1" x14ac:dyDescent="0.35">
      <c r="A407" s="93" t="s">
        <v>709</v>
      </c>
      <c r="B407" s="182" t="s">
        <v>710</v>
      </c>
      <c r="C407" s="26" t="s">
        <v>930</v>
      </c>
      <c r="D407" s="85"/>
      <c r="E407" s="63"/>
      <c r="F407" s="83"/>
      <c r="G407" s="64"/>
      <c r="H407" s="85"/>
      <c r="I407" s="67"/>
      <c r="J407" s="71"/>
      <c r="K407" s="134">
        <f t="shared" ref="K407:K470" si="55">I407+J407</f>
        <v>0</v>
      </c>
      <c r="L407" s="130">
        <f t="shared" ref="L407:L470" si="56">K407+D407+E407+F407+G407+H407</f>
        <v>0</v>
      </c>
    </row>
    <row r="408" spans="1:12" hidden="1" outlineLevel="1" x14ac:dyDescent="0.35">
      <c r="A408" s="93" t="s">
        <v>711</v>
      </c>
      <c r="B408" s="182" t="s">
        <v>712</v>
      </c>
      <c r="C408" s="26" t="s">
        <v>930</v>
      </c>
      <c r="D408" s="85"/>
      <c r="E408" s="63"/>
      <c r="F408" s="83"/>
      <c r="G408" s="64">
        <v>3568</v>
      </c>
      <c r="H408" s="116">
        <f>86307+3245</f>
        <v>89552</v>
      </c>
      <c r="I408" s="67">
        <v>2565</v>
      </c>
      <c r="J408" s="71"/>
      <c r="K408" s="134">
        <f t="shared" si="55"/>
        <v>2565</v>
      </c>
      <c r="L408" s="130">
        <f t="shared" si="56"/>
        <v>95685</v>
      </c>
    </row>
    <row r="409" spans="1:12" hidden="1" outlineLevel="1" x14ac:dyDescent="0.35">
      <c r="A409" s="93" t="s">
        <v>713</v>
      </c>
      <c r="B409" s="182" t="s">
        <v>714</v>
      </c>
      <c r="C409" s="26" t="s">
        <v>930</v>
      </c>
      <c r="D409" s="85"/>
      <c r="E409" s="63"/>
      <c r="F409" s="83"/>
      <c r="G409" s="64">
        <v>27306</v>
      </c>
      <c r="H409" s="85"/>
      <c r="I409" s="67"/>
      <c r="J409" s="71"/>
      <c r="K409" s="134">
        <f t="shared" si="55"/>
        <v>0</v>
      </c>
      <c r="L409" s="130">
        <f t="shared" si="56"/>
        <v>27306</v>
      </c>
    </row>
    <row r="410" spans="1:12" hidden="1" outlineLevel="1" x14ac:dyDescent="0.35">
      <c r="A410" s="93" t="s">
        <v>715</v>
      </c>
      <c r="B410" s="182" t="s">
        <v>716</v>
      </c>
      <c r="C410" s="26" t="s">
        <v>930</v>
      </c>
      <c r="D410" s="85"/>
      <c r="E410" s="63"/>
      <c r="F410" s="83"/>
      <c r="G410" s="64"/>
      <c r="H410" s="85"/>
      <c r="I410" s="67">
        <v>37489</v>
      </c>
      <c r="J410" s="71"/>
      <c r="K410" s="134">
        <f t="shared" si="55"/>
        <v>37489</v>
      </c>
      <c r="L410" s="130">
        <f t="shared" si="56"/>
        <v>37489</v>
      </c>
    </row>
    <row r="411" spans="1:12" hidden="1" outlineLevel="1" x14ac:dyDescent="0.35">
      <c r="A411" s="93" t="s">
        <v>717</v>
      </c>
      <c r="B411" s="182" t="s">
        <v>718</v>
      </c>
      <c r="C411" s="26" t="s">
        <v>930</v>
      </c>
      <c r="D411" s="85"/>
      <c r="E411" s="63"/>
      <c r="F411" s="83"/>
      <c r="G411" s="64"/>
      <c r="H411" s="85"/>
      <c r="I411" s="67"/>
      <c r="J411" s="71"/>
      <c r="K411" s="134">
        <f t="shared" si="55"/>
        <v>0</v>
      </c>
      <c r="L411" s="130">
        <f t="shared" si="56"/>
        <v>0</v>
      </c>
    </row>
    <row r="412" spans="1:12" hidden="1" outlineLevel="1" x14ac:dyDescent="0.35">
      <c r="A412" s="93" t="s">
        <v>719</v>
      </c>
      <c r="B412" s="182" t="s">
        <v>720</v>
      </c>
      <c r="C412" s="26" t="s">
        <v>930</v>
      </c>
      <c r="D412" s="85"/>
      <c r="E412" s="63">
        <v>22956</v>
      </c>
      <c r="F412" s="83"/>
      <c r="G412" s="64">
        <v>99867</v>
      </c>
      <c r="H412" s="85"/>
      <c r="I412" s="67"/>
      <c r="J412" s="71"/>
      <c r="K412" s="134">
        <f t="shared" si="55"/>
        <v>0</v>
      </c>
      <c r="L412" s="130">
        <f t="shared" si="56"/>
        <v>122823</v>
      </c>
    </row>
    <row r="413" spans="1:12" hidden="1" outlineLevel="1" x14ac:dyDescent="0.35">
      <c r="A413" s="93" t="s">
        <v>721</v>
      </c>
      <c r="B413" s="182" t="s">
        <v>722</v>
      </c>
      <c r="C413" s="26" t="s">
        <v>930</v>
      </c>
      <c r="D413" s="85">
        <v>39444</v>
      </c>
      <c r="E413" s="63"/>
      <c r="F413" s="83">
        <v>70275</v>
      </c>
      <c r="G413" s="64">
        <v>270480</v>
      </c>
      <c r="H413" s="85">
        <v>293298</v>
      </c>
      <c r="I413" s="67"/>
      <c r="J413" s="71"/>
      <c r="K413" s="134">
        <f t="shared" si="55"/>
        <v>0</v>
      </c>
      <c r="L413" s="130">
        <f t="shared" si="56"/>
        <v>673497</v>
      </c>
    </row>
    <row r="414" spans="1:12" hidden="1" outlineLevel="1" x14ac:dyDescent="0.35">
      <c r="A414" s="93" t="s">
        <v>723</v>
      </c>
      <c r="B414" s="182" t="s">
        <v>724</v>
      </c>
      <c r="C414" s="26" t="s">
        <v>930</v>
      </c>
      <c r="D414" s="85">
        <v>4880</v>
      </c>
      <c r="E414" s="63">
        <v>349989</v>
      </c>
      <c r="F414" s="83">
        <v>237150</v>
      </c>
      <c r="G414" s="64">
        <v>111378</v>
      </c>
      <c r="H414" s="85">
        <f>3788+25576</f>
        <v>29364</v>
      </c>
      <c r="I414" s="67">
        <f>2919+5027</f>
        <v>7946</v>
      </c>
      <c r="J414" s="71"/>
      <c r="K414" s="134">
        <f t="shared" si="55"/>
        <v>7946</v>
      </c>
      <c r="L414" s="130">
        <f t="shared" si="56"/>
        <v>740707</v>
      </c>
    </row>
    <row r="415" spans="1:12" hidden="1" outlineLevel="1" x14ac:dyDescent="0.35">
      <c r="A415" s="93" t="s">
        <v>725</v>
      </c>
      <c r="B415" s="182" t="s">
        <v>726</v>
      </c>
      <c r="C415" s="26" t="s">
        <v>930</v>
      </c>
      <c r="D415" s="85"/>
      <c r="E415" s="63"/>
      <c r="F415" s="83"/>
      <c r="G415" s="64">
        <v>15034</v>
      </c>
      <c r="H415" s="85"/>
      <c r="I415" s="67">
        <v>21481</v>
      </c>
      <c r="J415" s="71"/>
      <c r="K415" s="134">
        <f t="shared" si="55"/>
        <v>21481</v>
      </c>
      <c r="L415" s="130">
        <f t="shared" si="56"/>
        <v>36515</v>
      </c>
    </row>
    <row r="416" spans="1:12" hidden="1" outlineLevel="1" x14ac:dyDescent="0.35">
      <c r="A416" s="93" t="s">
        <v>727</v>
      </c>
      <c r="B416" s="182" t="s">
        <v>728</v>
      </c>
      <c r="C416" s="26" t="s">
        <v>930</v>
      </c>
      <c r="D416" s="85"/>
      <c r="E416" s="63"/>
      <c r="F416" s="83"/>
      <c r="G416" s="64"/>
      <c r="H416" s="85"/>
      <c r="I416" s="67"/>
      <c r="J416" s="71"/>
      <c r="K416" s="134">
        <f t="shared" si="55"/>
        <v>0</v>
      </c>
      <c r="L416" s="130">
        <f t="shared" si="56"/>
        <v>0</v>
      </c>
    </row>
    <row r="417" spans="1:12" hidden="1" outlineLevel="1" x14ac:dyDescent="0.35">
      <c r="A417" s="93" t="s">
        <v>729</v>
      </c>
      <c r="B417" s="182" t="s">
        <v>730</v>
      </c>
      <c r="C417" s="26" t="s">
        <v>930</v>
      </c>
      <c r="D417" s="85"/>
      <c r="E417" s="63"/>
      <c r="F417" s="83"/>
      <c r="G417" s="64"/>
      <c r="H417" s="85"/>
      <c r="I417" s="67"/>
      <c r="J417" s="71"/>
      <c r="K417" s="134">
        <f t="shared" si="55"/>
        <v>0</v>
      </c>
      <c r="L417" s="130">
        <f t="shared" si="56"/>
        <v>0</v>
      </c>
    </row>
    <row r="418" spans="1:12" hidden="1" outlineLevel="1" x14ac:dyDescent="0.35">
      <c r="A418" s="93" t="s">
        <v>731</v>
      </c>
      <c r="B418" s="182" t="s">
        <v>732</v>
      </c>
      <c r="C418" s="26" t="s">
        <v>930</v>
      </c>
      <c r="D418" s="85">
        <v>1123</v>
      </c>
      <c r="E418" s="63"/>
      <c r="F418" s="83"/>
      <c r="G418" s="64">
        <v>15540</v>
      </c>
      <c r="H418" s="85">
        <v>6925</v>
      </c>
      <c r="I418" s="67">
        <v>200</v>
      </c>
      <c r="J418" s="71"/>
      <c r="K418" s="134">
        <f t="shared" si="55"/>
        <v>200</v>
      </c>
      <c r="L418" s="130">
        <f t="shared" si="56"/>
        <v>23788</v>
      </c>
    </row>
    <row r="419" spans="1:12" hidden="1" outlineLevel="1" x14ac:dyDescent="0.35">
      <c r="A419" s="93" t="s">
        <v>733</v>
      </c>
      <c r="B419" s="182" t="s">
        <v>734</v>
      </c>
      <c r="C419" s="26" t="s">
        <v>930</v>
      </c>
      <c r="D419" s="85"/>
      <c r="E419" s="63">
        <v>38390</v>
      </c>
      <c r="F419" s="83"/>
      <c r="G419" s="64">
        <v>54232</v>
      </c>
      <c r="H419" s="85"/>
      <c r="I419" s="67"/>
      <c r="J419" s="71"/>
      <c r="K419" s="134">
        <f t="shared" si="55"/>
        <v>0</v>
      </c>
      <c r="L419" s="130">
        <f t="shared" si="56"/>
        <v>92622</v>
      </c>
    </row>
    <row r="420" spans="1:12" hidden="1" outlineLevel="1" x14ac:dyDescent="0.35">
      <c r="A420" s="93" t="s">
        <v>735</v>
      </c>
      <c r="B420" s="182" t="s">
        <v>736</v>
      </c>
      <c r="C420" s="26" t="s">
        <v>930</v>
      </c>
      <c r="D420" s="85">
        <v>431</v>
      </c>
      <c r="E420" s="63">
        <v>51320</v>
      </c>
      <c r="F420" s="83">
        <v>206264</v>
      </c>
      <c r="G420" s="64">
        <v>310815</v>
      </c>
      <c r="H420" s="85">
        <v>588903</v>
      </c>
      <c r="I420" s="67"/>
      <c r="J420" s="71"/>
      <c r="K420" s="134">
        <f t="shared" si="55"/>
        <v>0</v>
      </c>
      <c r="L420" s="130">
        <f t="shared" si="56"/>
        <v>1157733</v>
      </c>
    </row>
    <row r="421" spans="1:12" hidden="1" outlineLevel="1" x14ac:dyDescent="0.35">
      <c r="A421" s="93" t="s">
        <v>737</v>
      </c>
      <c r="B421" s="182" t="s">
        <v>738</v>
      </c>
      <c r="C421" s="26" t="s">
        <v>930</v>
      </c>
      <c r="D421" s="85"/>
      <c r="E421" s="63"/>
      <c r="F421" s="83"/>
      <c r="G421" s="64">
        <v>233026</v>
      </c>
      <c r="H421" s="85"/>
      <c r="I421" s="67"/>
      <c r="J421" s="71"/>
      <c r="K421" s="134">
        <f t="shared" si="55"/>
        <v>0</v>
      </c>
      <c r="L421" s="130">
        <f t="shared" si="56"/>
        <v>233026</v>
      </c>
    </row>
    <row r="422" spans="1:12" hidden="1" outlineLevel="1" x14ac:dyDescent="0.35">
      <c r="A422" s="93" t="s">
        <v>739</v>
      </c>
      <c r="B422" s="182" t="s">
        <v>740</v>
      </c>
      <c r="C422" s="26" t="s">
        <v>930</v>
      </c>
      <c r="D422" s="85">
        <v>1727790</v>
      </c>
      <c r="E422" s="63"/>
      <c r="F422" s="83"/>
      <c r="G422" s="64">
        <v>18556</v>
      </c>
      <c r="H422" s="85"/>
      <c r="I422" s="67"/>
      <c r="J422" s="71"/>
      <c r="K422" s="134">
        <f t="shared" si="55"/>
        <v>0</v>
      </c>
      <c r="L422" s="130">
        <f t="shared" si="56"/>
        <v>1746346</v>
      </c>
    </row>
    <row r="423" spans="1:12" hidden="1" outlineLevel="1" x14ac:dyDescent="0.35">
      <c r="A423" s="93" t="s">
        <v>741</v>
      </c>
      <c r="B423" s="182" t="s">
        <v>742</v>
      </c>
      <c r="C423" s="26" t="s">
        <v>930</v>
      </c>
      <c r="D423" s="85"/>
      <c r="E423" s="63"/>
      <c r="F423" s="83"/>
      <c r="G423" s="64">
        <v>14500</v>
      </c>
      <c r="H423" s="85">
        <f>52045+70656</f>
        <v>122701</v>
      </c>
      <c r="I423" s="67"/>
      <c r="J423" s="71"/>
      <c r="K423" s="134">
        <f t="shared" si="55"/>
        <v>0</v>
      </c>
      <c r="L423" s="130">
        <f t="shared" si="56"/>
        <v>137201</v>
      </c>
    </row>
    <row r="424" spans="1:12" hidden="1" outlineLevel="1" x14ac:dyDescent="0.35">
      <c r="A424" s="93" t="s">
        <v>743</v>
      </c>
      <c r="B424" s="182" t="s">
        <v>744</v>
      </c>
      <c r="C424" s="26" t="s">
        <v>930</v>
      </c>
      <c r="D424" s="85"/>
      <c r="E424" s="63"/>
      <c r="F424" s="83"/>
      <c r="G424" s="64"/>
      <c r="H424" s="85"/>
      <c r="I424" s="67">
        <v>3500</v>
      </c>
      <c r="J424" s="71"/>
      <c r="K424" s="134">
        <f t="shared" si="55"/>
        <v>3500</v>
      </c>
      <c r="L424" s="130">
        <f t="shared" si="56"/>
        <v>3500</v>
      </c>
    </row>
    <row r="425" spans="1:12" hidden="1" outlineLevel="1" x14ac:dyDescent="0.35">
      <c r="A425" s="93" t="s">
        <v>745</v>
      </c>
      <c r="B425" s="182" t="s">
        <v>746</v>
      </c>
      <c r="C425" s="26" t="s">
        <v>930</v>
      </c>
      <c r="D425" s="85"/>
      <c r="E425" s="63"/>
      <c r="F425" s="83">
        <v>106067</v>
      </c>
      <c r="G425" s="64">
        <v>205856</v>
      </c>
      <c r="H425" s="89">
        <v>232643</v>
      </c>
      <c r="I425" s="67">
        <f>25495+2828+5516+3663+3434</f>
        <v>40936</v>
      </c>
      <c r="J425" s="71"/>
      <c r="K425" s="134">
        <f t="shared" si="55"/>
        <v>40936</v>
      </c>
      <c r="L425" s="130">
        <f t="shared" si="56"/>
        <v>585502</v>
      </c>
    </row>
    <row r="426" spans="1:12" hidden="1" outlineLevel="1" x14ac:dyDescent="0.35">
      <c r="A426" s="93" t="s">
        <v>747</v>
      </c>
      <c r="B426" s="182" t="s">
        <v>748</v>
      </c>
      <c r="C426" s="26" t="s">
        <v>930</v>
      </c>
      <c r="D426" s="85">
        <v>2535</v>
      </c>
      <c r="E426" s="63">
        <v>7393</v>
      </c>
      <c r="F426" s="83"/>
      <c r="G426" s="64">
        <v>19900</v>
      </c>
      <c r="H426" s="85"/>
      <c r="I426" s="67"/>
      <c r="J426" s="71"/>
      <c r="K426" s="134">
        <f t="shared" si="55"/>
        <v>0</v>
      </c>
      <c r="L426" s="130">
        <f t="shared" si="56"/>
        <v>29828</v>
      </c>
    </row>
    <row r="427" spans="1:12" hidden="1" outlineLevel="1" x14ac:dyDescent="0.35">
      <c r="A427" s="93" t="s">
        <v>749</v>
      </c>
      <c r="B427" s="182" t="s">
        <v>750</v>
      </c>
      <c r="C427" s="26" t="s">
        <v>930</v>
      </c>
      <c r="D427" s="85"/>
      <c r="E427" s="63"/>
      <c r="F427" s="83"/>
      <c r="G427" s="64">
        <v>33067</v>
      </c>
      <c r="H427" s="85"/>
      <c r="I427" s="67"/>
      <c r="J427" s="71"/>
      <c r="K427" s="134">
        <f t="shared" si="55"/>
        <v>0</v>
      </c>
      <c r="L427" s="130">
        <f t="shared" si="56"/>
        <v>33067</v>
      </c>
    </row>
    <row r="428" spans="1:12" hidden="1" outlineLevel="1" x14ac:dyDescent="0.35">
      <c r="A428" s="93" t="s">
        <v>751</v>
      </c>
      <c r="B428" s="182" t="s">
        <v>752</v>
      </c>
      <c r="C428" s="26" t="s">
        <v>930</v>
      </c>
      <c r="D428" s="85"/>
      <c r="E428" s="63"/>
      <c r="F428" s="83"/>
      <c r="G428" s="64">
        <v>7250</v>
      </c>
      <c r="H428" s="85"/>
      <c r="I428" s="67"/>
      <c r="J428" s="71"/>
      <c r="K428" s="134">
        <f t="shared" si="55"/>
        <v>0</v>
      </c>
      <c r="L428" s="130">
        <f t="shared" si="56"/>
        <v>7250</v>
      </c>
    </row>
    <row r="429" spans="1:12" hidden="1" outlineLevel="1" x14ac:dyDescent="0.35">
      <c r="A429" s="93" t="s">
        <v>753</v>
      </c>
      <c r="B429" s="182" t="s">
        <v>754</v>
      </c>
      <c r="C429" s="26" t="s">
        <v>930</v>
      </c>
      <c r="D429" s="85"/>
      <c r="E429" s="63"/>
      <c r="F429" s="83">
        <v>7750</v>
      </c>
      <c r="G429" s="64">
        <v>20524</v>
      </c>
      <c r="H429" s="85">
        <v>12625</v>
      </c>
      <c r="I429" s="67"/>
      <c r="J429" s="71"/>
      <c r="K429" s="134">
        <f t="shared" si="55"/>
        <v>0</v>
      </c>
      <c r="L429" s="130">
        <f t="shared" si="56"/>
        <v>40899</v>
      </c>
    </row>
    <row r="430" spans="1:12" hidden="1" outlineLevel="1" x14ac:dyDescent="0.35">
      <c r="A430" s="93" t="s">
        <v>755</v>
      </c>
      <c r="B430" s="182" t="s">
        <v>756</v>
      </c>
      <c r="C430" s="26" t="s">
        <v>930</v>
      </c>
      <c r="D430" s="85">
        <v>1500</v>
      </c>
      <c r="E430" s="63">
        <v>6701</v>
      </c>
      <c r="F430" s="83">
        <v>12982</v>
      </c>
      <c r="G430" s="64">
        <v>4445</v>
      </c>
      <c r="H430" s="85">
        <v>1807</v>
      </c>
      <c r="I430" s="67"/>
      <c r="J430" s="71"/>
      <c r="K430" s="134">
        <f t="shared" si="55"/>
        <v>0</v>
      </c>
      <c r="L430" s="130">
        <f t="shared" si="56"/>
        <v>27435</v>
      </c>
    </row>
    <row r="431" spans="1:12" hidden="1" outlineLevel="1" x14ac:dyDescent="0.35">
      <c r="A431" s="93" t="s">
        <v>757</v>
      </c>
      <c r="B431" s="182" t="s">
        <v>758</v>
      </c>
      <c r="C431" s="26" t="s">
        <v>930</v>
      </c>
      <c r="D431" s="85"/>
      <c r="E431" s="63"/>
      <c r="F431" s="83"/>
      <c r="G431" s="64">
        <v>865</v>
      </c>
      <c r="H431" s="85"/>
      <c r="I431" s="67"/>
      <c r="J431" s="71"/>
      <c r="K431" s="134">
        <f t="shared" si="55"/>
        <v>0</v>
      </c>
      <c r="L431" s="130">
        <f t="shared" si="56"/>
        <v>865</v>
      </c>
    </row>
    <row r="432" spans="1:12" hidden="1" outlineLevel="1" x14ac:dyDescent="0.35">
      <c r="A432" s="93" t="s">
        <v>759</v>
      </c>
      <c r="B432" s="182" t="s">
        <v>760</v>
      </c>
      <c r="C432" s="26" t="s">
        <v>930</v>
      </c>
      <c r="D432" s="85"/>
      <c r="E432" s="63">
        <v>1944</v>
      </c>
      <c r="F432" s="83"/>
      <c r="G432" s="64">
        <v>41358</v>
      </c>
      <c r="H432" s="85"/>
      <c r="I432" s="67"/>
      <c r="J432" s="71"/>
      <c r="K432" s="134">
        <f t="shared" si="55"/>
        <v>0</v>
      </c>
      <c r="L432" s="130">
        <f t="shared" si="56"/>
        <v>43302</v>
      </c>
    </row>
    <row r="433" spans="1:12" hidden="1" outlineLevel="1" x14ac:dyDescent="0.35">
      <c r="A433" s="93" t="s">
        <v>761</v>
      </c>
      <c r="B433" s="182" t="s">
        <v>762</v>
      </c>
      <c r="C433" s="26" t="s">
        <v>930</v>
      </c>
      <c r="D433" s="85"/>
      <c r="E433" s="63"/>
      <c r="F433" s="83"/>
      <c r="G433" s="64">
        <v>578</v>
      </c>
      <c r="H433" s="85"/>
      <c r="I433" s="67"/>
      <c r="J433" s="71"/>
      <c r="K433" s="134">
        <f t="shared" si="55"/>
        <v>0</v>
      </c>
      <c r="L433" s="130">
        <f t="shared" si="56"/>
        <v>578</v>
      </c>
    </row>
    <row r="434" spans="1:12" hidden="1" outlineLevel="1" x14ac:dyDescent="0.35">
      <c r="A434" s="93" t="s">
        <v>763</v>
      </c>
      <c r="B434" s="182" t="s">
        <v>764</v>
      </c>
      <c r="C434" s="26" t="s">
        <v>930</v>
      </c>
      <c r="D434" s="85"/>
      <c r="E434" s="63">
        <v>2585</v>
      </c>
      <c r="F434" s="83">
        <v>68200</v>
      </c>
      <c r="G434" s="64">
        <v>32550</v>
      </c>
      <c r="H434" s="85"/>
      <c r="I434" s="67"/>
      <c r="J434" s="71"/>
      <c r="K434" s="134">
        <f t="shared" si="55"/>
        <v>0</v>
      </c>
      <c r="L434" s="130">
        <f t="shared" si="56"/>
        <v>103335</v>
      </c>
    </row>
    <row r="435" spans="1:12" hidden="1" outlineLevel="1" x14ac:dyDescent="0.35">
      <c r="A435" s="93" t="s">
        <v>765</v>
      </c>
      <c r="B435" s="182" t="s">
        <v>766</v>
      </c>
      <c r="C435" s="26" t="s">
        <v>930</v>
      </c>
      <c r="D435" s="85">
        <v>3862</v>
      </c>
      <c r="E435" s="63">
        <v>34467</v>
      </c>
      <c r="F435" s="83">
        <v>73727</v>
      </c>
      <c r="G435" s="64">
        <v>40206</v>
      </c>
      <c r="H435" s="85">
        <f>1863+34523</f>
        <v>36386</v>
      </c>
      <c r="I435" s="67">
        <f>755</f>
        <v>755</v>
      </c>
      <c r="J435" s="71"/>
      <c r="K435" s="134">
        <f t="shared" si="55"/>
        <v>755</v>
      </c>
      <c r="L435" s="130">
        <f t="shared" si="56"/>
        <v>189403</v>
      </c>
    </row>
    <row r="436" spans="1:12" hidden="1" outlineLevel="1" x14ac:dyDescent="0.35">
      <c r="A436" s="93" t="s">
        <v>767</v>
      </c>
      <c r="B436" s="182" t="s">
        <v>768</v>
      </c>
      <c r="C436" s="26" t="s">
        <v>930</v>
      </c>
      <c r="D436" s="85"/>
      <c r="E436" s="63">
        <v>2985</v>
      </c>
      <c r="F436" s="83">
        <v>50066</v>
      </c>
      <c r="G436" s="64">
        <v>27012</v>
      </c>
      <c r="H436" s="85">
        <v>6251</v>
      </c>
      <c r="I436" s="67">
        <f>261+259+260+299+300+354+188+188+188+225</f>
        <v>2522</v>
      </c>
      <c r="J436" s="71"/>
      <c r="K436" s="134">
        <f t="shared" si="55"/>
        <v>2522</v>
      </c>
      <c r="L436" s="130">
        <f t="shared" si="56"/>
        <v>88836</v>
      </c>
    </row>
    <row r="437" spans="1:12" hidden="1" outlineLevel="1" x14ac:dyDescent="0.35">
      <c r="A437" s="93" t="s">
        <v>769</v>
      </c>
      <c r="B437" s="182" t="s">
        <v>770</v>
      </c>
      <c r="C437" s="26" t="s">
        <v>930</v>
      </c>
      <c r="D437" s="85"/>
      <c r="E437" s="63"/>
      <c r="F437" s="83"/>
      <c r="G437" s="64"/>
      <c r="H437" s="85"/>
      <c r="I437" s="67"/>
      <c r="J437" s="71"/>
      <c r="K437" s="134">
        <f t="shared" si="55"/>
        <v>0</v>
      </c>
      <c r="L437" s="130">
        <f t="shared" si="56"/>
        <v>0</v>
      </c>
    </row>
    <row r="438" spans="1:12" hidden="1" outlineLevel="1" x14ac:dyDescent="0.35">
      <c r="A438" s="93" t="s">
        <v>771</v>
      </c>
      <c r="B438" s="182" t="s">
        <v>772</v>
      </c>
      <c r="C438" s="26" t="s">
        <v>930</v>
      </c>
      <c r="D438" s="85"/>
      <c r="E438" s="63">
        <v>2445</v>
      </c>
      <c r="F438" s="83">
        <v>371</v>
      </c>
      <c r="G438" s="64">
        <v>263</v>
      </c>
      <c r="H438" s="85">
        <v>614</v>
      </c>
      <c r="I438" s="67"/>
      <c r="J438" s="71"/>
      <c r="K438" s="134">
        <f t="shared" si="55"/>
        <v>0</v>
      </c>
      <c r="L438" s="130">
        <f t="shared" si="56"/>
        <v>3693</v>
      </c>
    </row>
    <row r="439" spans="1:12" hidden="1" outlineLevel="1" x14ac:dyDescent="0.35">
      <c r="A439" s="93" t="s">
        <v>773</v>
      </c>
      <c r="B439" s="182" t="s">
        <v>774</v>
      </c>
      <c r="C439" s="26" t="s">
        <v>930</v>
      </c>
      <c r="D439" s="85"/>
      <c r="E439" s="63"/>
      <c r="F439" s="83"/>
      <c r="G439" s="64">
        <v>7852</v>
      </c>
      <c r="H439" s="85">
        <v>10714</v>
      </c>
      <c r="I439" s="67"/>
      <c r="J439" s="71"/>
      <c r="K439" s="134">
        <f t="shared" si="55"/>
        <v>0</v>
      </c>
      <c r="L439" s="130">
        <f t="shared" si="56"/>
        <v>18566</v>
      </c>
    </row>
    <row r="440" spans="1:12" hidden="1" outlineLevel="1" x14ac:dyDescent="0.35">
      <c r="A440" s="93" t="s">
        <v>775</v>
      </c>
      <c r="B440" s="182" t="s">
        <v>776</v>
      </c>
      <c r="C440" s="26" t="s">
        <v>930</v>
      </c>
      <c r="D440" s="85"/>
      <c r="E440" s="63"/>
      <c r="F440" s="83"/>
      <c r="G440" s="64"/>
      <c r="H440" s="85">
        <v>16662</v>
      </c>
      <c r="I440" s="67"/>
      <c r="J440" s="71"/>
      <c r="K440" s="134">
        <f t="shared" si="55"/>
        <v>0</v>
      </c>
      <c r="L440" s="130">
        <f t="shared" si="56"/>
        <v>16662</v>
      </c>
    </row>
    <row r="441" spans="1:12" hidden="1" outlineLevel="1" x14ac:dyDescent="0.35">
      <c r="A441" s="93" t="s">
        <v>777</v>
      </c>
      <c r="B441" s="182" t="s">
        <v>778</v>
      </c>
      <c r="C441" s="26" t="s">
        <v>930</v>
      </c>
      <c r="D441" s="85"/>
      <c r="E441" s="63"/>
      <c r="F441" s="83"/>
      <c r="G441" s="64">
        <v>5155</v>
      </c>
      <c r="H441" s="85"/>
      <c r="I441" s="67"/>
      <c r="J441" s="71"/>
      <c r="K441" s="134">
        <f t="shared" si="55"/>
        <v>0</v>
      </c>
      <c r="L441" s="130">
        <f t="shared" si="56"/>
        <v>5155</v>
      </c>
    </row>
    <row r="442" spans="1:12" hidden="1" outlineLevel="1" x14ac:dyDescent="0.35">
      <c r="A442" s="93" t="s">
        <v>779</v>
      </c>
      <c r="B442" s="182" t="s">
        <v>780</v>
      </c>
      <c r="C442" s="26" t="s">
        <v>930</v>
      </c>
      <c r="D442" s="85"/>
      <c r="E442" s="63"/>
      <c r="F442" s="83"/>
      <c r="G442" s="64"/>
      <c r="H442" s="85"/>
      <c r="I442" s="67"/>
      <c r="J442" s="71"/>
      <c r="K442" s="134">
        <f t="shared" si="55"/>
        <v>0</v>
      </c>
      <c r="L442" s="130">
        <f t="shared" si="56"/>
        <v>0</v>
      </c>
    </row>
    <row r="443" spans="1:12" hidden="1" outlineLevel="1" x14ac:dyDescent="0.35">
      <c r="A443" s="93" t="s">
        <v>781</v>
      </c>
      <c r="B443" s="182" t="s">
        <v>782</v>
      </c>
      <c r="C443" s="26" t="s">
        <v>930</v>
      </c>
      <c r="D443" s="85"/>
      <c r="E443" s="63"/>
      <c r="F443" s="83"/>
      <c r="G443" s="64">
        <v>6484</v>
      </c>
      <c r="H443" s="85">
        <v>3114</v>
      </c>
      <c r="I443" s="67">
        <v>22650</v>
      </c>
      <c r="J443" s="71"/>
      <c r="K443" s="134">
        <f t="shared" si="55"/>
        <v>22650</v>
      </c>
      <c r="L443" s="130">
        <f t="shared" si="56"/>
        <v>32248</v>
      </c>
    </row>
    <row r="444" spans="1:12" hidden="1" outlineLevel="1" x14ac:dyDescent="0.35">
      <c r="A444" s="93" t="s">
        <v>783</v>
      </c>
      <c r="B444" s="182" t="s">
        <v>784</v>
      </c>
      <c r="C444" s="26" t="s">
        <v>930</v>
      </c>
      <c r="D444" s="85"/>
      <c r="E444" s="63"/>
      <c r="F444" s="83">
        <v>65517</v>
      </c>
      <c r="G444" s="64">
        <v>25626</v>
      </c>
      <c r="H444" s="85">
        <v>49156</v>
      </c>
      <c r="I444" s="67"/>
      <c r="J444" s="71"/>
      <c r="K444" s="134">
        <f t="shared" si="55"/>
        <v>0</v>
      </c>
      <c r="L444" s="130">
        <f t="shared" si="56"/>
        <v>140299</v>
      </c>
    </row>
    <row r="445" spans="1:12" hidden="1" outlineLevel="1" x14ac:dyDescent="0.35">
      <c r="A445" s="93" t="s">
        <v>785</v>
      </c>
      <c r="B445" s="182" t="s">
        <v>786</v>
      </c>
      <c r="C445" s="26" t="s">
        <v>930</v>
      </c>
      <c r="D445" s="85"/>
      <c r="E445" s="63"/>
      <c r="F445" s="83"/>
      <c r="G445" s="64"/>
      <c r="H445" s="85"/>
      <c r="I445" s="67"/>
      <c r="J445" s="71"/>
      <c r="K445" s="134">
        <f t="shared" si="55"/>
        <v>0</v>
      </c>
      <c r="L445" s="130">
        <f t="shared" si="56"/>
        <v>0</v>
      </c>
    </row>
    <row r="446" spans="1:12" hidden="1" outlineLevel="1" x14ac:dyDescent="0.35">
      <c r="A446" s="93" t="s">
        <v>787</v>
      </c>
      <c r="B446" s="182" t="s">
        <v>788</v>
      </c>
      <c r="C446" s="26" t="s">
        <v>930</v>
      </c>
      <c r="D446" s="85"/>
      <c r="E446" s="63">
        <v>5715</v>
      </c>
      <c r="F446" s="83">
        <v>3321</v>
      </c>
      <c r="G446" s="64">
        <v>8187</v>
      </c>
      <c r="H446" s="85">
        <v>696</v>
      </c>
      <c r="I446" s="67">
        <f>348+7478</f>
        <v>7826</v>
      </c>
      <c r="J446" s="71"/>
      <c r="K446" s="134">
        <f t="shared" si="55"/>
        <v>7826</v>
      </c>
      <c r="L446" s="130">
        <f t="shared" si="56"/>
        <v>25745</v>
      </c>
    </row>
    <row r="447" spans="1:12" hidden="1" outlineLevel="1" x14ac:dyDescent="0.35">
      <c r="A447" s="93" t="s">
        <v>789</v>
      </c>
      <c r="B447" s="182" t="s">
        <v>790</v>
      </c>
      <c r="C447" s="26" t="s">
        <v>930</v>
      </c>
      <c r="D447" s="85"/>
      <c r="E447" s="63"/>
      <c r="F447" s="83"/>
      <c r="G447" s="64"/>
      <c r="H447" s="85"/>
      <c r="I447" s="67"/>
      <c r="J447" s="71"/>
      <c r="K447" s="134">
        <f t="shared" si="55"/>
        <v>0</v>
      </c>
      <c r="L447" s="130">
        <f t="shared" si="56"/>
        <v>0</v>
      </c>
    </row>
    <row r="448" spans="1:12" hidden="1" outlineLevel="1" x14ac:dyDescent="0.35">
      <c r="A448" s="93" t="s">
        <v>791</v>
      </c>
      <c r="B448" s="182" t="s">
        <v>792</v>
      </c>
      <c r="C448" s="26" t="s">
        <v>930</v>
      </c>
      <c r="D448" s="85"/>
      <c r="E448" s="63"/>
      <c r="F448" s="83"/>
      <c r="G448" s="64"/>
      <c r="H448" s="85"/>
      <c r="I448" s="67"/>
      <c r="J448" s="71"/>
      <c r="K448" s="134">
        <f t="shared" si="55"/>
        <v>0</v>
      </c>
      <c r="L448" s="130">
        <f t="shared" si="56"/>
        <v>0</v>
      </c>
    </row>
    <row r="449" spans="1:12" hidden="1" outlineLevel="1" x14ac:dyDescent="0.35">
      <c r="A449" s="93" t="s">
        <v>793</v>
      </c>
      <c r="B449" s="182" t="s">
        <v>794</v>
      </c>
      <c r="C449" s="26" t="s">
        <v>930</v>
      </c>
      <c r="D449" s="85">
        <v>711</v>
      </c>
      <c r="E449" s="63">
        <v>18555</v>
      </c>
      <c r="F449" s="83">
        <v>36355</v>
      </c>
      <c r="G449" s="64">
        <v>11087</v>
      </c>
      <c r="H449" s="85">
        <v>60696</v>
      </c>
      <c r="I449" s="67"/>
      <c r="J449" s="71"/>
      <c r="K449" s="134">
        <f t="shared" si="55"/>
        <v>0</v>
      </c>
      <c r="L449" s="130">
        <f t="shared" si="56"/>
        <v>127404</v>
      </c>
    </row>
    <row r="450" spans="1:12" hidden="1" outlineLevel="1" x14ac:dyDescent="0.35">
      <c r="A450" s="93" t="s">
        <v>795</v>
      </c>
      <c r="B450" s="182" t="s">
        <v>796</v>
      </c>
      <c r="C450" s="26" t="s">
        <v>930</v>
      </c>
      <c r="D450" s="85"/>
      <c r="E450" s="63"/>
      <c r="F450" s="83" t="s">
        <v>1283</v>
      </c>
      <c r="G450" s="64">
        <v>2249</v>
      </c>
      <c r="H450" s="85"/>
      <c r="I450" s="67"/>
      <c r="J450" s="71"/>
      <c r="K450" s="134">
        <f t="shared" si="55"/>
        <v>0</v>
      </c>
      <c r="L450" s="130">
        <f>G450</f>
        <v>2249</v>
      </c>
    </row>
    <row r="451" spans="1:12" hidden="1" outlineLevel="1" x14ac:dyDescent="0.35">
      <c r="A451" s="93" t="s">
        <v>797</v>
      </c>
      <c r="B451" s="182" t="s">
        <v>798</v>
      </c>
      <c r="C451" s="26" t="s">
        <v>930</v>
      </c>
      <c r="D451" s="85"/>
      <c r="E451" s="63"/>
      <c r="F451" s="83"/>
      <c r="G451" s="64"/>
      <c r="H451" s="85"/>
      <c r="I451" s="67"/>
      <c r="J451" s="71"/>
      <c r="K451" s="134">
        <f t="shared" si="55"/>
        <v>0</v>
      </c>
      <c r="L451" s="130">
        <f t="shared" si="56"/>
        <v>0</v>
      </c>
    </row>
    <row r="452" spans="1:12" hidden="1" outlineLevel="1" x14ac:dyDescent="0.35">
      <c r="A452" s="93" t="s">
        <v>799</v>
      </c>
      <c r="B452" s="182" t="s">
        <v>800</v>
      </c>
      <c r="C452" s="26" t="s">
        <v>930</v>
      </c>
      <c r="D452" s="85"/>
      <c r="E452" s="83"/>
      <c r="F452" s="177"/>
      <c r="G452" s="64">
        <v>4081</v>
      </c>
      <c r="H452" s="85"/>
      <c r="I452" s="67"/>
      <c r="J452" s="71"/>
      <c r="K452" s="134">
        <f t="shared" si="55"/>
        <v>0</v>
      </c>
      <c r="L452" s="130">
        <f t="shared" si="56"/>
        <v>4081</v>
      </c>
    </row>
    <row r="453" spans="1:12" hidden="1" outlineLevel="1" x14ac:dyDescent="0.35">
      <c r="A453" s="93" t="s">
        <v>801</v>
      </c>
      <c r="B453" s="182" t="s">
        <v>802</v>
      </c>
      <c r="C453" s="26" t="s">
        <v>930</v>
      </c>
      <c r="D453" s="85"/>
      <c r="E453" s="63">
        <v>18955</v>
      </c>
      <c r="F453" s="83">
        <v>67041</v>
      </c>
      <c r="G453" s="64">
        <v>93983</v>
      </c>
      <c r="H453" s="85">
        <v>9219</v>
      </c>
      <c r="I453" s="67"/>
      <c r="J453" s="71"/>
      <c r="K453" s="134">
        <f t="shared" si="55"/>
        <v>0</v>
      </c>
      <c r="L453" s="130">
        <f t="shared" si="56"/>
        <v>189198</v>
      </c>
    </row>
    <row r="454" spans="1:12" hidden="1" outlineLevel="1" x14ac:dyDescent="0.35">
      <c r="A454" s="93" t="s">
        <v>803</v>
      </c>
      <c r="B454" s="182" t="s">
        <v>804</v>
      </c>
      <c r="C454" s="26" t="s">
        <v>930</v>
      </c>
      <c r="D454" s="85"/>
      <c r="E454" s="63"/>
      <c r="F454" s="83">
        <v>146718</v>
      </c>
      <c r="G454" s="64">
        <v>6855</v>
      </c>
      <c r="H454" s="85">
        <v>4237</v>
      </c>
      <c r="I454" s="67">
        <v>51458</v>
      </c>
      <c r="J454" s="71"/>
      <c r="K454" s="134">
        <f t="shared" si="55"/>
        <v>51458</v>
      </c>
      <c r="L454" s="130">
        <f t="shared" si="56"/>
        <v>209268</v>
      </c>
    </row>
    <row r="455" spans="1:12" hidden="1" outlineLevel="1" x14ac:dyDescent="0.35">
      <c r="A455" s="93" t="s">
        <v>805</v>
      </c>
      <c r="B455" s="182" t="s">
        <v>806</v>
      </c>
      <c r="C455" s="26" t="s">
        <v>930</v>
      </c>
      <c r="D455" s="85"/>
      <c r="E455" s="63"/>
      <c r="F455" s="83"/>
      <c r="G455" s="64">
        <v>6619</v>
      </c>
      <c r="H455" s="85"/>
      <c r="I455" s="67"/>
      <c r="J455" s="71"/>
      <c r="K455" s="134">
        <f t="shared" si="55"/>
        <v>0</v>
      </c>
      <c r="L455" s="130">
        <f t="shared" si="56"/>
        <v>6619</v>
      </c>
    </row>
    <row r="456" spans="1:12" hidden="1" outlineLevel="1" x14ac:dyDescent="0.35">
      <c r="A456" s="93" t="s">
        <v>807</v>
      </c>
      <c r="B456" s="182" t="s">
        <v>808</v>
      </c>
      <c r="C456" s="26" t="s">
        <v>930</v>
      </c>
      <c r="D456" s="85"/>
      <c r="E456" s="63"/>
      <c r="F456" s="83"/>
      <c r="G456" s="64"/>
      <c r="H456" s="85"/>
      <c r="I456" s="67"/>
      <c r="J456" s="71"/>
      <c r="K456" s="134">
        <f t="shared" si="55"/>
        <v>0</v>
      </c>
      <c r="L456" s="130">
        <f t="shared" si="56"/>
        <v>0</v>
      </c>
    </row>
    <row r="457" spans="1:12" hidden="1" outlineLevel="1" x14ac:dyDescent="0.35">
      <c r="A457" s="93" t="s">
        <v>809</v>
      </c>
      <c r="B457" s="182" t="s">
        <v>810</v>
      </c>
      <c r="C457" s="26" t="s">
        <v>930</v>
      </c>
      <c r="D457" s="85"/>
      <c r="E457" s="63"/>
      <c r="F457" s="83"/>
      <c r="G457" s="64"/>
      <c r="H457" s="85"/>
      <c r="I457" s="67">
        <v>591</v>
      </c>
      <c r="J457" s="71"/>
      <c r="K457" s="134">
        <f t="shared" si="55"/>
        <v>591</v>
      </c>
      <c r="L457" s="130">
        <f t="shared" si="56"/>
        <v>591</v>
      </c>
    </row>
    <row r="458" spans="1:12" hidden="1" outlineLevel="1" x14ac:dyDescent="0.35">
      <c r="A458" s="93" t="s">
        <v>811</v>
      </c>
      <c r="B458" s="182" t="s">
        <v>812</v>
      </c>
      <c r="C458" s="26" t="s">
        <v>930</v>
      </c>
      <c r="D458" s="85"/>
      <c r="E458" s="63"/>
      <c r="F458" s="83"/>
      <c r="G458" s="64"/>
      <c r="H458" s="85"/>
      <c r="I458" s="67"/>
      <c r="J458" s="71"/>
      <c r="K458" s="134">
        <f t="shared" si="55"/>
        <v>0</v>
      </c>
      <c r="L458" s="130">
        <f t="shared" si="56"/>
        <v>0</v>
      </c>
    </row>
    <row r="459" spans="1:12" hidden="1" outlineLevel="1" x14ac:dyDescent="0.35">
      <c r="A459" s="93" t="s">
        <v>813</v>
      </c>
      <c r="B459" s="182" t="s">
        <v>814</v>
      </c>
      <c r="C459" s="26" t="s">
        <v>930</v>
      </c>
      <c r="D459" s="85"/>
      <c r="E459" s="63"/>
      <c r="F459" s="83"/>
      <c r="G459" s="64">
        <v>1204</v>
      </c>
      <c r="H459" s="85"/>
      <c r="I459" s="67"/>
      <c r="J459" s="71"/>
      <c r="K459" s="134">
        <f t="shared" si="55"/>
        <v>0</v>
      </c>
      <c r="L459" s="130">
        <f t="shared" si="56"/>
        <v>1204</v>
      </c>
    </row>
    <row r="460" spans="1:12" hidden="1" outlineLevel="1" x14ac:dyDescent="0.35">
      <c r="A460" s="93" t="s">
        <v>815</v>
      </c>
      <c r="B460" s="182" t="s">
        <v>816</v>
      </c>
      <c r="C460" s="26" t="s">
        <v>930</v>
      </c>
      <c r="D460" s="85"/>
      <c r="E460" s="63"/>
      <c r="F460" s="83"/>
      <c r="G460" s="64"/>
      <c r="H460" s="85"/>
      <c r="I460" s="67"/>
      <c r="J460" s="71"/>
      <c r="K460" s="134">
        <f t="shared" si="55"/>
        <v>0</v>
      </c>
      <c r="L460" s="130">
        <f t="shared" si="56"/>
        <v>0</v>
      </c>
    </row>
    <row r="461" spans="1:12" hidden="1" outlineLevel="1" x14ac:dyDescent="0.35">
      <c r="A461" s="93" t="s">
        <v>817</v>
      </c>
      <c r="B461" s="182" t="s">
        <v>818</v>
      </c>
      <c r="C461" s="26" t="s">
        <v>930</v>
      </c>
      <c r="D461" s="85">
        <v>2348</v>
      </c>
      <c r="E461" s="63">
        <v>2210</v>
      </c>
      <c r="F461" s="83"/>
      <c r="G461" s="64">
        <v>3295</v>
      </c>
      <c r="H461" s="85"/>
      <c r="I461" s="67">
        <v>8754</v>
      </c>
      <c r="J461" s="71"/>
      <c r="K461" s="134">
        <f t="shared" si="55"/>
        <v>8754</v>
      </c>
      <c r="L461" s="130">
        <f t="shared" si="56"/>
        <v>16607</v>
      </c>
    </row>
    <row r="462" spans="1:12" hidden="1" outlineLevel="1" x14ac:dyDescent="0.35">
      <c r="A462" s="93" t="s">
        <v>819</v>
      </c>
      <c r="B462" s="182" t="s">
        <v>820</v>
      </c>
      <c r="C462" s="26" t="s">
        <v>930</v>
      </c>
      <c r="D462" s="85"/>
      <c r="E462" s="63"/>
      <c r="F462" s="83">
        <v>17989</v>
      </c>
      <c r="G462" s="64"/>
      <c r="H462" s="85">
        <v>21104</v>
      </c>
      <c r="I462" s="67"/>
      <c r="J462" s="71"/>
      <c r="K462" s="134">
        <f t="shared" si="55"/>
        <v>0</v>
      </c>
      <c r="L462" s="130">
        <f t="shared" si="56"/>
        <v>39093</v>
      </c>
    </row>
    <row r="463" spans="1:12" hidden="1" outlineLevel="1" x14ac:dyDescent="0.35">
      <c r="A463" s="93" t="s">
        <v>821</v>
      </c>
      <c r="B463" s="182" t="s">
        <v>822</v>
      </c>
      <c r="C463" s="26" t="s">
        <v>930</v>
      </c>
      <c r="D463" s="85">
        <v>21090</v>
      </c>
      <c r="E463" s="63">
        <v>19105</v>
      </c>
      <c r="F463" s="83">
        <v>67970</v>
      </c>
      <c r="G463" s="64">
        <v>59519</v>
      </c>
      <c r="H463" s="85">
        <v>68293</v>
      </c>
      <c r="I463" s="67">
        <f>1721+564</f>
        <v>2285</v>
      </c>
      <c r="J463" s="71"/>
      <c r="K463" s="134">
        <f t="shared" si="55"/>
        <v>2285</v>
      </c>
      <c r="L463" s="130">
        <f t="shared" si="56"/>
        <v>238262</v>
      </c>
    </row>
    <row r="464" spans="1:12" hidden="1" outlineLevel="1" x14ac:dyDescent="0.35">
      <c r="A464" s="93" t="s">
        <v>823</v>
      </c>
      <c r="B464" s="182" t="s">
        <v>824</v>
      </c>
      <c r="C464" s="26" t="s">
        <v>930</v>
      </c>
      <c r="D464" s="85"/>
      <c r="E464" s="63"/>
      <c r="F464" s="83"/>
      <c r="G464" s="64"/>
      <c r="H464" s="85">
        <v>7</v>
      </c>
      <c r="I464" s="67"/>
      <c r="J464" s="71"/>
      <c r="K464" s="134">
        <f t="shared" si="55"/>
        <v>0</v>
      </c>
      <c r="L464" s="130">
        <f t="shared" si="56"/>
        <v>7</v>
      </c>
    </row>
    <row r="465" spans="1:12" hidden="1" outlineLevel="1" x14ac:dyDescent="0.35">
      <c r="A465" s="93" t="s">
        <v>825</v>
      </c>
      <c r="B465" s="182" t="s">
        <v>826</v>
      </c>
      <c r="C465" s="26" t="s">
        <v>930</v>
      </c>
      <c r="D465" s="85"/>
      <c r="E465" s="63"/>
      <c r="F465" s="83"/>
      <c r="G465" s="64"/>
      <c r="H465" s="85">
        <v>12762</v>
      </c>
      <c r="I465" s="67"/>
      <c r="J465" s="71"/>
      <c r="K465" s="134">
        <f t="shared" si="55"/>
        <v>0</v>
      </c>
      <c r="L465" s="130">
        <f t="shared" si="56"/>
        <v>12762</v>
      </c>
    </row>
    <row r="466" spans="1:12" hidden="1" outlineLevel="1" x14ac:dyDescent="0.35">
      <c r="A466" s="93" t="s">
        <v>827</v>
      </c>
      <c r="B466" s="182" t="s">
        <v>828</v>
      </c>
      <c r="C466" s="26" t="s">
        <v>930</v>
      </c>
      <c r="D466" s="85">
        <v>603</v>
      </c>
      <c r="E466" s="63">
        <v>9512</v>
      </c>
      <c r="F466" s="83">
        <v>8028</v>
      </c>
      <c r="G466" s="64">
        <v>10719</v>
      </c>
      <c r="H466" s="85">
        <v>7972</v>
      </c>
      <c r="I466" s="67">
        <v>3646</v>
      </c>
      <c r="J466" s="71"/>
      <c r="K466" s="134">
        <f t="shared" si="55"/>
        <v>3646</v>
      </c>
      <c r="L466" s="130">
        <f t="shared" si="56"/>
        <v>40480</v>
      </c>
    </row>
    <row r="467" spans="1:12" hidden="1" outlineLevel="1" x14ac:dyDescent="0.35">
      <c r="A467" s="93" t="s">
        <v>829</v>
      </c>
      <c r="B467" s="182" t="s">
        <v>830</v>
      </c>
      <c r="C467" s="26" t="s">
        <v>930</v>
      </c>
      <c r="D467" s="85"/>
      <c r="E467" s="63"/>
      <c r="F467" s="83">
        <v>36666</v>
      </c>
      <c r="G467" s="64">
        <v>-171</v>
      </c>
      <c r="H467" s="85">
        <v>50373</v>
      </c>
      <c r="I467" s="67"/>
      <c r="J467" s="71"/>
      <c r="K467" s="134">
        <f t="shared" si="55"/>
        <v>0</v>
      </c>
      <c r="L467" s="130">
        <f t="shared" si="56"/>
        <v>86868</v>
      </c>
    </row>
    <row r="468" spans="1:12" hidden="1" outlineLevel="1" x14ac:dyDescent="0.35">
      <c r="A468" s="93" t="s">
        <v>831</v>
      </c>
      <c r="B468" s="182" t="s">
        <v>832</v>
      </c>
      <c r="C468" s="26" t="s">
        <v>930</v>
      </c>
      <c r="D468" s="85"/>
      <c r="E468" s="63"/>
      <c r="F468" s="83"/>
      <c r="G468" s="64"/>
      <c r="H468" s="85"/>
      <c r="I468" s="67"/>
      <c r="J468" s="71"/>
      <c r="K468" s="134">
        <f t="shared" si="55"/>
        <v>0</v>
      </c>
      <c r="L468" s="130">
        <f t="shared" si="56"/>
        <v>0</v>
      </c>
    </row>
    <row r="469" spans="1:12" hidden="1" outlineLevel="1" x14ac:dyDescent="0.35">
      <c r="A469" s="93" t="s">
        <v>833</v>
      </c>
      <c r="B469" s="182" t="s">
        <v>834</v>
      </c>
      <c r="C469" s="26" t="s">
        <v>930</v>
      </c>
      <c r="D469" s="85"/>
      <c r="E469" s="63"/>
      <c r="F469" s="83"/>
      <c r="G469" s="64"/>
      <c r="H469" s="85"/>
      <c r="I469" s="67"/>
      <c r="J469" s="71"/>
      <c r="K469" s="134">
        <f t="shared" si="55"/>
        <v>0</v>
      </c>
      <c r="L469" s="130">
        <f t="shared" si="56"/>
        <v>0</v>
      </c>
    </row>
    <row r="470" spans="1:12" hidden="1" outlineLevel="1" x14ac:dyDescent="0.35">
      <c r="A470" s="93" t="s">
        <v>835</v>
      </c>
      <c r="B470" s="182" t="s">
        <v>836</v>
      </c>
      <c r="C470" s="97" t="s">
        <v>930</v>
      </c>
      <c r="D470" s="85"/>
      <c r="E470" s="63"/>
      <c r="F470" s="83"/>
      <c r="G470" s="64"/>
      <c r="H470" s="85"/>
      <c r="I470" s="67"/>
      <c r="J470" s="71"/>
      <c r="K470" s="134">
        <f t="shared" si="55"/>
        <v>0</v>
      </c>
      <c r="L470" s="130">
        <f t="shared" si="56"/>
        <v>0</v>
      </c>
    </row>
    <row r="471" spans="1:12" hidden="1" outlineLevel="1" x14ac:dyDescent="0.35">
      <c r="A471" s="164"/>
      <c r="B471" s="190" t="s">
        <v>1307</v>
      </c>
      <c r="C471" s="117"/>
      <c r="D471" s="119"/>
      <c r="E471" s="121"/>
      <c r="F471" s="122">
        <f>-F398</f>
        <v>-203118</v>
      </c>
      <c r="G471" s="122">
        <f t="shared" ref="G471:H471" si="57">-G398</f>
        <v>-65186</v>
      </c>
      <c r="H471" s="122">
        <f t="shared" si="57"/>
        <v>-97453</v>
      </c>
      <c r="I471" s="122"/>
      <c r="J471" s="165">
        <f>-(F471+G471+H471+I471)</f>
        <v>365757</v>
      </c>
      <c r="K471" s="133"/>
      <c r="L471" s="129"/>
    </row>
    <row r="472" spans="1:12" s="12" customFormat="1" x14ac:dyDescent="0.35">
      <c r="A472" s="101"/>
      <c r="B472" s="188" t="s">
        <v>1290</v>
      </c>
      <c r="C472" s="35"/>
      <c r="D472" s="88">
        <f t="shared" ref="D472:H472" si="58">D293+D339+D386+D391+D392</f>
        <v>1870131</v>
      </c>
      <c r="E472" s="76">
        <f t="shared" si="58"/>
        <v>873752</v>
      </c>
      <c r="F472" s="88">
        <f t="shared" si="58"/>
        <v>2181474</v>
      </c>
      <c r="G472" s="76">
        <f t="shared" si="58"/>
        <v>2880214</v>
      </c>
      <c r="H472" s="88">
        <f t="shared" si="58"/>
        <v>2487115</v>
      </c>
      <c r="I472" s="88">
        <f>I293+I339+I386+I391+I392</f>
        <v>1041713</v>
      </c>
      <c r="J472" s="153"/>
      <c r="K472" s="137">
        <f>K293+K339+K386+K391+K392</f>
        <v>4585944</v>
      </c>
      <c r="L472" s="138">
        <f t="shared" ref="L472:L496" si="59">K472+D472+E472+F472+G472+H472</f>
        <v>14878630</v>
      </c>
    </row>
    <row r="473" spans="1:12" s="12" customFormat="1" x14ac:dyDescent="0.35">
      <c r="A473" s="105"/>
      <c r="B473" s="193" t="s">
        <v>1287</v>
      </c>
      <c r="C473" s="36"/>
      <c r="D473" s="90">
        <f>D338-D339-D386-D391-D392</f>
        <v>-153625.04947601049</v>
      </c>
      <c r="E473" s="90">
        <f t="shared" ref="E473:L473" si="60">E338-E339-E386-E391-E392</f>
        <v>315024.60119769024</v>
      </c>
      <c r="F473" s="90">
        <f t="shared" si="60"/>
        <v>767133.37042845925</v>
      </c>
      <c r="G473" s="90">
        <f t="shared" si="60"/>
        <v>116682.7080630213</v>
      </c>
      <c r="H473" s="90">
        <f t="shared" si="60"/>
        <v>-110572.63021316007</v>
      </c>
      <c r="I473" s="90">
        <f t="shared" si="60"/>
        <v>18152</v>
      </c>
      <c r="J473" s="90"/>
      <c r="K473" s="90">
        <f t="shared" si="60"/>
        <v>88568</v>
      </c>
      <c r="L473" s="90">
        <f t="shared" si="60"/>
        <v>1023211</v>
      </c>
    </row>
    <row r="474" spans="1:12" collapsed="1" x14ac:dyDescent="0.35">
      <c r="A474" s="93"/>
      <c r="B474" s="182" t="s">
        <v>931</v>
      </c>
      <c r="C474" s="97"/>
      <c r="D474" s="85">
        <f>SUM(D475:D479)</f>
        <v>368</v>
      </c>
      <c r="E474" s="65">
        <f t="shared" ref="E474:I474" si="61">SUM(E475:E479)</f>
        <v>3998</v>
      </c>
      <c r="F474" s="85">
        <f t="shared" si="61"/>
        <v>27258</v>
      </c>
      <c r="G474" s="65">
        <f t="shared" si="61"/>
        <v>11522</v>
      </c>
      <c r="H474" s="85">
        <f t="shared" si="61"/>
        <v>0</v>
      </c>
      <c r="I474" s="85">
        <f t="shared" si="61"/>
        <v>0</v>
      </c>
      <c r="J474" s="71"/>
      <c r="K474" s="134">
        <f>I474+J474</f>
        <v>0</v>
      </c>
      <c r="L474" s="130">
        <f t="shared" si="59"/>
        <v>43146</v>
      </c>
    </row>
    <row r="475" spans="1:12" hidden="1" outlineLevel="1" x14ac:dyDescent="0.35">
      <c r="A475" s="93" t="s">
        <v>837</v>
      </c>
      <c r="B475" s="182" t="s">
        <v>838</v>
      </c>
      <c r="C475" s="26" t="s">
        <v>931</v>
      </c>
      <c r="D475" s="85">
        <v>368</v>
      </c>
      <c r="E475" s="63">
        <v>1541</v>
      </c>
      <c r="F475" s="83">
        <v>27258</v>
      </c>
      <c r="G475" s="64">
        <v>11522</v>
      </c>
      <c r="H475" s="85"/>
      <c r="I475" s="67"/>
      <c r="J475" s="71">
        <f t="shared" ref="J475:J479" si="62">D475+E475+F475+G475+H475</f>
        <v>40689</v>
      </c>
      <c r="K475" s="134">
        <f t="shared" ref="K475:K496" si="63">I475+J475</f>
        <v>40689</v>
      </c>
      <c r="L475" s="130">
        <f t="shared" si="59"/>
        <v>81378</v>
      </c>
    </row>
    <row r="476" spans="1:12" hidden="1" outlineLevel="1" x14ac:dyDescent="0.35">
      <c r="A476" s="93" t="s">
        <v>839</v>
      </c>
      <c r="B476" s="182" t="s">
        <v>840</v>
      </c>
      <c r="C476" s="26" t="s">
        <v>931</v>
      </c>
      <c r="D476" s="85"/>
      <c r="E476" s="63"/>
      <c r="F476" s="63"/>
      <c r="G476" s="64"/>
      <c r="H476" s="85"/>
      <c r="I476" s="67"/>
      <c r="J476" s="71">
        <f t="shared" si="62"/>
        <v>0</v>
      </c>
      <c r="K476" s="134">
        <f t="shared" si="63"/>
        <v>0</v>
      </c>
      <c r="L476" s="130">
        <f t="shared" si="59"/>
        <v>0</v>
      </c>
    </row>
    <row r="477" spans="1:12" hidden="1" outlineLevel="1" x14ac:dyDescent="0.35">
      <c r="A477" s="93" t="s">
        <v>841</v>
      </c>
      <c r="B477" s="182" t="s">
        <v>842</v>
      </c>
      <c r="C477" s="26" t="s">
        <v>931</v>
      </c>
      <c r="D477" s="85"/>
      <c r="E477" s="63"/>
      <c r="F477" s="63"/>
      <c r="G477" s="64"/>
      <c r="H477" s="85"/>
      <c r="I477" s="67"/>
      <c r="J477" s="71">
        <f t="shared" si="62"/>
        <v>0</v>
      </c>
      <c r="K477" s="134">
        <f t="shared" si="63"/>
        <v>0</v>
      </c>
      <c r="L477" s="130">
        <f t="shared" si="59"/>
        <v>0</v>
      </c>
    </row>
    <row r="478" spans="1:12" hidden="1" outlineLevel="1" x14ac:dyDescent="0.35">
      <c r="A478" s="99" t="s">
        <v>843</v>
      </c>
      <c r="B478" s="184" t="s">
        <v>844</v>
      </c>
      <c r="C478" s="26" t="s">
        <v>931</v>
      </c>
      <c r="D478" s="85"/>
      <c r="E478" s="63"/>
      <c r="F478" s="63"/>
      <c r="G478" s="64"/>
      <c r="H478" s="85"/>
      <c r="I478" s="67"/>
      <c r="J478" s="71">
        <f t="shared" si="62"/>
        <v>0</v>
      </c>
      <c r="K478" s="134">
        <f t="shared" si="63"/>
        <v>0</v>
      </c>
      <c r="L478" s="130">
        <f t="shared" si="59"/>
        <v>0</v>
      </c>
    </row>
    <row r="479" spans="1:12" hidden="1" outlineLevel="1" x14ac:dyDescent="0.35">
      <c r="A479" s="93" t="s">
        <v>847</v>
      </c>
      <c r="B479" s="182" t="s">
        <v>848</v>
      </c>
      <c r="C479" s="26" t="s">
        <v>931</v>
      </c>
      <c r="D479" s="85"/>
      <c r="E479" s="63">
        <v>2457</v>
      </c>
      <c r="F479" s="63"/>
      <c r="G479" s="64"/>
      <c r="H479" s="85"/>
      <c r="I479" s="67"/>
      <c r="J479" s="71">
        <f t="shared" si="62"/>
        <v>2457</v>
      </c>
      <c r="K479" s="134">
        <f t="shared" si="63"/>
        <v>2457</v>
      </c>
      <c r="L479" s="130">
        <f t="shared" si="59"/>
        <v>4914</v>
      </c>
    </row>
    <row r="480" spans="1:12" collapsed="1" x14ac:dyDescent="0.35">
      <c r="A480" s="96"/>
      <c r="B480" s="182" t="s">
        <v>932</v>
      </c>
      <c r="C480" s="95"/>
      <c r="D480" s="85">
        <f>SUM(D481:D482)</f>
        <v>0</v>
      </c>
      <c r="E480" s="65">
        <f t="shared" ref="E480:I480" si="64">SUM(E481:E482)</f>
        <v>0</v>
      </c>
      <c r="F480" s="85">
        <f t="shared" si="64"/>
        <v>0</v>
      </c>
      <c r="G480" s="65">
        <f t="shared" si="64"/>
        <v>0</v>
      </c>
      <c r="H480" s="85">
        <f t="shared" si="64"/>
        <v>0</v>
      </c>
      <c r="I480" s="85">
        <f t="shared" si="64"/>
        <v>0</v>
      </c>
      <c r="J480" s="71"/>
      <c r="K480" s="134">
        <f t="shared" si="63"/>
        <v>0</v>
      </c>
      <c r="L480" s="130">
        <f t="shared" si="59"/>
        <v>0</v>
      </c>
    </row>
    <row r="481" spans="1:12" hidden="1" outlineLevel="1" x14ac:dyDescent="0.35">
      <c r="A481" s="93" t="s">
        <v>845</v>
      </c>
      <c r="B481" s="182" t="s">
        <v>846</v>
      </c>
      <c r="C481" s="26" t="s">
        <v>932</v>
      </c>
      <c r="D481" s="85"/>
      <c r="E481" s="63"/>
      <c r="F481" s="83"/>
      <c r="G481" s="64"/>
      <c r="H481" s="85"/>
      <c r="I481" s="67"/>
      <c r="J481" s="71"/>
      <c r="K481" s="134">
        <f t="shared" si="63"/>
        <v>0</v>
      </c>
      <c r="L481" s="130">
        <f t="shared" si="59"/>
        <v>0</v>
      </c>
    </row>
    <row r="482" spans="1:12" hidden="1" outlineLevel="1" x14ac:dyDescent="0.35">
      <c r="A482" s="93" t="s">
        <v>849</v>
      </c>
      <c r="B482" s="182" t="s">
        <v>850</v>
      </c>
      <c r="C482" s="26" t="s">
        <v>932</v>
      </c>
      <c r="D482" s="85"/>
      <c r="E482" s="63"/>
      <c r="F482" s="83"/>
      <c r="G482" s="64"/>
      <c r="H482" s="85"/>
      <c r="I482" s="67"/>
      <c r="J482" s="71"/>
      <c r="K482" s="134">
        <f t="shared" si="63"/>
        <v>0</v>
      </c>
      <c r="L482" s="130">
        <f t="shared" si="59"/>
        <v>0</v>
      </c>
    </row>
    <row r="483" spans="1:12" collapsed="1" x14ac:dyDescent="0.35">
      <c r="A483" s="93"/>
      <c r="B483" s="182" t="s">
        <v>933</v>
      </c>
      <c r="C483" s="26"/>
      <c r="D483" s="85">
        <f>SUM(D484:D485)</f>
        <v>0</v>
      </c>
      <c r="E483" s="65">
        <f t="shared" ref="E483:H483" si="65">SUM(E484:E485)</f>
        <v>0</v>
      </c>
      <c r="F483" s="85">
        <f t="shared" si="65"/>
        <v>0</v>
      </c>
      <c r="G483" s="65">
        <f t="shared" si="65"/>
        <v>0</v>
      </c>
      <c r="H483" s="85">
        <f t="shared" si="65"/>
        <v>0</v>
      </c>
      <c r="I483" s="67">
        <f t="shared" ref="I483:I496" si="66">D483+E483+F483+G483+H483</f>
        <v>0</v>
      </c>
      <c r="J483" s="71"/>
      <c r="K483" s="134">
        <f t="shared" si="63"/>
        <v>0</v>
      </c>
      <c r="L483" s="130">
        <f t="shared" si="59"/>
        <v>0</v>
      </c>
    </row>
    <row r="484" spans="1:12" hidden="1" outlineLevel="1" x14ac:dyDescent="0.35">
      <c r="A484" s="93" t="s">
        <v>851</v>
      </c>
      <c r="B484" s="182" t="s">
        <v>852</v>
      </c>
      <c r="C484" s="26" t="s">
        <v>933</v>
      </c>
      <c r="D484" s="85"/>
      <c r="E484" s="63"/>
      <c r="F484" s="83"/>
      <c r="G484" s="64"/>
      <c r="H484" s="85"/>
      <c r="I484" s="67"/>
      <c r="J484" s="71"/>
      <c r="K484" s="134">
        <f t="shared" si="63"/>
        <v>0</v>
      </c>
      <c r="L484" s="130">
        <f t="shared" si="59"/>
        <v>0</v>
      </c>
    </row>
    <row r="485" spans="1:12" hidden="1" outlineLevel="1" x14ac:dyDescent="0.35">
      <c r="A485" s="93" t="s">
        <v>853</v>
      </c>
      <c r="B485" s="182" t="s">
        <v>854</v>
      </c>
      <c r="C485" s="26" t="s">
        <v>933</v>
      </c>
      <c r="D485" s="85"/>
      <c r="E485" s="63"/>
      <c r="F485" s="83"/>
      <c r="G485" s="64"/>
      <c r="H485" s="85"/>
      <c r="I485" s="67"/>
      <c r="J485" s="71"/>
      <c r="K485" s="134">
        <f t="shared" si="63"/>
        <v>0</v>
      </c>
      <c r="L485" s="130">
        <f t="shared" si="59"/>
        <v>0</v>
      </c>
    </row>
    <row r="486" spans="1:12" collapsed="1" x14ac:dyDescent="0.35">
      <c r="A486" s="93"/>
      <c r="B486" s="182" t="s">
        <v>934</v>
      </c>
      <c r="C486" s="26"/>
      <c r="D486" s="85">
        <f>SUM(D487:D492)</f>
        <v>0</v>
      </c>
      <c r="E486" s="65">
        <f t="shared" ref="E486:I486" si="67">SUM(E487:E492)</f>
        <v>18966</v>
      </c>
      <c r="F486" s="85">
        <f t="shared" si="67"/>
        <v>0</v>
      </c>
      <c r="G486" s="65">
        <f t="shared" si="67"/>
        <v>6740</v>
      </c>
      <c r="H486" s="85">
        <f t="shared" si="67"/>
        <v>0</v>
      </c>
      <c r="I486" s="85">
        <f t="shared" si="67"/>
        <v>0</v>
      </c>
      <c r="J486" s="71"/>
      <c r="K486" s="134">
        <f t="shared" si="63"/>
        <v>0</v>
      </c>
      <c r="L486" s="130">
        <f>K486+D486+E486+F486+G486+H486</f>
        <v>25706</v>
      </c>
    </row>
    <row r="487" spans="1:12" hidden="1" outlineLevel="1" x14ac:dyDescent="0.35">
      <c r="A487" s="93" t="s">
        <v>855</v>
      </c>
      <c r="B487" s="182" t="s">
        <v>856</v>
      </c>
      <c r="C487" s="26" t="s">
        <v>934</v>
      </c>
      <c r="D487" s="85"/>
      <c r="E487" s="63">
        <v>18966</v>
      </c>
      <c r="F487" s="83"/>
      <c r="G487" s="64">
        <v>4</v>
      </c>
      <c r="H487" s="85"/>
      <c r="I487" s="67"/>
      <c r="J487" s="71"/>
      <c r="K487" s="134">
        <f t="shared" si="63"/>
        <v>0</v>
      </c>
      <c r="L487" s="130">
        <f t="shared" si="59"/>
        <v>18970</v>
      </c>
    </row>
    <row r="488" spans="1:12" hidden="1" outlineLevel="1" x14ac:dyDescent="0.35">
      <c r="A488" s="93" t="s">
        <v>857</v>
      </c>
      <c r="B488" s="182" t="s">
        <v>858</v>
      </c>
      <c r="C488" s="26" t="s">
        <v>934</v>
      </c>
      <c r="D488" s="85"/>
      <c r="E488" s="63"/>
      <c r="F488" s="83"/>
      <c r="G488" s="64"/>
      <c r="H488" s="85"/>
      <c r="I488" s="67"/>
      <c r="J488" s="71"/>
      <c r="K488" s="134">
        <f t="shared" si="63"/>
        <v>0</v>
      </c>
      <c r="L488" s="130">
        <f t="shared" si="59"/>
        <v>0</v>
      </c>
    </row>
    <row r="489" spans="1:12" hidden="1" outlineLevel="1" x14ac:dyDescent="0.35">
      <c r="A489" s="93" t="s">
        <v>859</v>
      </c>
      <c r="B489" s="182" t="s">
        <v>860</v>
      </c>
      <c r="C489" s="26" t="s">
        <v>934</v>
      </c>
      <c r="D489" s="85"/>
      <c r="E489" s="63"/>
      <c r="F489" s="83"/>
      <c r="G489" s="64">
        <v>68</v>
      </c>
      <c r="H489" s="85"/>
      <c r="I489" s="67"/>
      <c r="J489" s="71"/>
      <c r="K489" s="134">
        <f t="shared" si="63"/>
        <v>0</v>
      </c>
      <c r="L489" s="130">
        <f t="shared" si="59"/>
        <v>68</v>
      </c>
    </row>
    <row r="490" spans="1:12" hidden="1" outlineLevel="1" x14ac:dyDescent="0.35">
      <c r="A490" s="93" t="s">
        <v>861</v>
      </c>
      <c r="B490" s="182" t="s">
        <v>862</v>
      </c>
      <c r="C490" s="26" t="s">
        <v>934</v>
      </c>
      <c r="D490" s="85"/>
      <c r="E490" s="63"/>
      <c r="F490" s="83"/>
      <c r="G490" s="64">
        <v>6668</v>
      </c>
      <c r="H490" s="85"/>
      <c r="I490" s="67"/>
      <c r="J490" s="71"/>
      <c r="K490" s="134">
        <f t="shared" si="63"/>
        <v>0</v>
      </c>
      <c r="L490" s="130">
        <f t="shared" si="59"/>
        <v>6668</v>
      </c>
    </row>
    <row r="491" spans="1:12" hidden="1" outlineLevel="1" x14ac:dyDescent="0.35">
      <c r="A491" s="93" t="s">
        <v>863</v>
      </c>
      <c r="B491" s="182" t="s">
        <v>864</v>
      </c>
      <c r="C491" s="26" t="s">
        <v>934</v>
      </c>
      <c r="D491" s="85"/>
      <c r="E491" s="63"/>
      <c r="F491" s="83"/>
      <c r="G491" s="64"/>
      <c r="H491" s="85"/>
      <c r="I491" s="67"/>
      <c r="J491" s="71"/>
      <c r="K491" s="134">
        <f t="shared" si="63"/>
        <v>0</v>
      </c>
      <c r="L491" s="130">
        <f t="shared" si="59"/>
        <v>0</v>
      </c>
    </row>
    <row r="492" spans="1:12" hidden="1" outlineLevel="1" x14ac:dyDescent="0.35">
      <c r="A492" s="93" t="s">
        <v>865</v>
      </c>
      <c r="B492" s="182" t="s">
        <v>866</v>
      </c>
      <c r="C492" s="26" t="s">
        <v>934</v>
      </c>
      <c r="D492" s="85"/>
      <c r="E492" s="63"/>
      <c r="F492" s="83"/>
      <c r="G492" s="64"/>
      <c r="H492" s="85"/>
      <c r="I492" s="67"/>
      <c r="J492" s="71"/>
      <c r="K492" s="134">
        <f t="shared" si="63"/>
        <v>0</v>
      </c>
      <c r="L492" s="130">
        <f t="shared" si="59"/>
        <v>0</v>
      </c>
    </row>
    <row r="493" spans="1:12" s="12" customFormat="1" x14ac:dyDescent="0.35">
      <c r="A493" s="105"/>
      <c r="B493" s="193" t="s">
        <v>1288</v>
      </c>
      <c r="C493" s="36"/>
      <c r="D493" s="90">
        <f>D473+D474-D486</f>
        <v>-153257.04947601049</v>
      </c>
      <c r="E493" s="59">
        <f t="shared" ref="E493:K493" si="68">E473+E474-E486</f>
        <v>300056.60119769024</v>
      </c>
      <c r="F493" s="90">
        <f t="shared" si="68"/>
        <v>794391.37042845925</v>
      </c>
      <c r="G493" s="59">
        <f t="shared" si="68"/>
        <v>121464.7080630213</v>
      </c>
      <c r="H493" s="90">
        <f t="shared" si="68"/>
        <v>-110572.63021316007</v>
      </c>
      <c r="I493" s="90">
        <f t="shared" si="68"/>
        <v>18152</v>
      </c>
      <c r="J493" s="90"/>
      <c r="K493" s="59">
        <f t="shared" si="68"/>
        <v>88568</v>
      </c>
      <c r="L493" s="135">
        <f t="shared" si="59"/>
        <v>1040651.0000000002</v>
      </c>
    </row>
    <row r="494" spans="1:12" ht="15" collapsed="1" thickBot="1" x14ac:dyDescent="0.4">
      <c r="A494" s="93"/>
      <c r="B494" s="182" t="s">
        <v>935</v>
      </c>
      <c r="C494" s="26"/>
      <c r="D494" s="85">
        <f>SUM(D495:D496)</f>
        <v>0</v>
      </c>
      <c r="E494" s="65">
        <f t="shared" ref="E494:H494" si="69">SUM(E495:E496)</f>
        <v>0</v>
      </c>
      <c r="F494" s="85">
        <f t="shared" si="69"/>
        <v>0</v>
      </c>
      <c r="G494" s="65">
        <f t="shared" si="69"/>
        <v>0</v>
      </c>
      <c r="H494" s="85">
        <f t="shared" si="69"/>
        <v>0</v>
      </c>
      <c r="I494" s="67">
        <f t="shared" si="66"/>
        <v>0</v>
      </c>
      <c r="J494" s="71"/>
      <c r="K494" s="134">
        <f t="shared" si="63"/>
        <v>0</v>
      </c>
      <c r="L494" s="130">
        <f t="shared" si="59"/>
        <v>0</v>
      </c>
    </row>
    <row r="495" spans="1:12" ht="15" hidden="1" outlineLevel="1" thickBot="1" x14ac:dyDescent="0.4">
      <c r="A495" s="93" t="s">
        <v>867</v>
      </c>
      <c r="B495" s="182" t="s">
        <v>868</v>
      </c>
      <c r="C495" s="26" t="s">
        <v>935</v>
      </c>
      <c r="D495" s="85"/>
      <c r="E495" s="63"/>
      <c r="F495" s="83"/>
      <c r="G495" s="64"/>
      <c r="H495" s="85"/>
      <c r="I495" s="67">
        <f t="shared" si="66"/>
        <v>0</v>
      </c>
      <c r="J495" s="71"/>
      <c r="K495" s="134">
        <f t="shared" si="63"/>
        <v>0</v>
      </c>
      <c r="L495" s="130">
        <f t="shared" si="59"/>
        <v>0</v>
      </c>
    </row>
    <row r="496" spans="1:12" ht="15" hidden="1" outlineLevel="1" thickBot="1" x14ac:dyDescent="0.4">
      <c r="A496" s="93" t="s">
        <v>869</v>
      </c>
      <c r="B496" s="182" t="s">
        <v>870</v>
      </c>
      <c r="C496" s="26" t="s">
        <v>935</v>
      </c>
      <c r="D496" s="85"/>
      <c r="E496" s="63"/>
      <c r="F496" s="83"/>
      <c r="G496" s="64"/>
      <c r="H496" s="85"/>
      <c r="I496" s="67">
        <f t="shared" si="66"/>
        <v>0</v>
      </c>
      <c r="J496" s="71"/>
      <c r="K496" s="134">
        <f t="shared" si="63"/>
        <v>0</v>
      </c>
      <c r="L496" s="130">
        <f t="shared" si="59"/>
        <v>0</v>
      </c>
    </row>
    <row r="497" spans="1:12" ht="15" collapsed="1" thickBot="1" x14ac:dyDescent="0.4">
      <c r="A497" s="106"/>
      <c r="B497" s="187" t="s">
        <v>872</v>
      </c>
      <c r="C497" s="34"/>
      <c r="D497" s="114">
        <f>SUM(D498:D501)</f>
        <v>0</v>
      </c>
      <c r="E497" s="115">
        <f t="shared" ref="E497:I497" si="70">SUM(E498:E501)</f>
        <v>0</v>
      </c>
      <c r="F497" s="114">
        <f t="shared" si="70"/>
        <v>0</v>
      </c>
      <c r="G497" s="115">
        <f>SUM(G498:G501)</f>
        <v>-146576</v>
      </c>
      <c r="H497" s="114">
        <f t="shared" si="70"/>
        <v>0</v>
      </c>
      <c r="I497" s="115">
        <f t="shared" si="70"/>
        <v>0</v>
      </c>
      <c r="J497" s="114"/>
      <c r="K497" s="139">
        <f>K493</f>
        <v>88568</v>
      </c>
      <c r="L497" s="140">
        <f>K497+D497+E497+F497+G497+H497</f>
        <v>-58008</v>
      </c>
    </row>
    <row r="498" spans="1:12" hidden="1" outlineLevel="1" x14ac:dyDescent="0.35">
      <c r="A498" s="15" t="s">
        <v>871</v>
      </c>
      <c r="B498" s="21" t="s">
        <v>872</v>
      </c>
      <c r="C498" s="21" t="s">
        <v>872</v>
      </c>
      <c r="E498" s="32"/>
      <c r="F498" s="32"/>
      <c r="G498" s="33"/>
    </row>
    <row r="499" spans="1:12" hidden="1" outlineLevel="1" x14ac:dyDescent="0.35">
      <c r="A499" s="15" t="s">
        <v>873</v>
      </c>
      <c r="B499" s="21" t="s">
        <v>874</v>
      </c>
      <c r="C499" s="21" t="s">
        <v>872</v>
      </c>
      <c r="E499" s="32"/>
      <c r="F499" s="32"/>
      <c r="G499" s="33"/>
    </row>
    <row r="500" spans="1:12" hidden="1" outlineLevel="1" x14ac:dyDescent="0.35">
      <c r="A500" s="15" t="s">
        <v>875</v>
      </c>
      <c r="B500" s="21" t="s">
        <v>876</v>
      </c>
      <c r="C500" s="21" t="s">
        <v>872</v>
      </c>
      <c r="E500" s="32"/>
      <c r="F500" s="32"/>
      <c r="G500" s="33">
        <v>-146576</v>
      </c>
    </row>
    <row r="501" spans="1:12" hidden="1" outlineLevel="1" x14ac:dyDescent="0.35">
      <c r="A501" s="15" t="s">
        <v>877</v>
      </c>
      <c r="B501" s="21" t="s">
        <v>878</v>
      </c>
      <c r="C501" s="21" t="s">
        <v>872</v>
      </c>
      <c r="E501" s="32"/>
      <c r="F501" s="32"/>
      <c r="G501" s="33"/>
    </row>
    <row r="502" spans="1:12" collapsed="1" x14ac:dyDescent="0.35">
      <c r="B502" s="22"/>
      <c r="C502" s="22"/>
      <c r="G502" s="33"/>
    </row>
    <row r="503" spans="1:12" x14ac:dyDescent="0.35">
      <c r="B503" s="22"/>
      <c r="C503" s="22"/>
      <c r="G503" s="33"/>
    </row>
    <row r="504" spans="1:12" x14ac:dyDescent="0.35">
      <c r="B504"/>
      <c r="C504" s="92" t="s">
        <v>1139</v>
      </c>
      <c r="D504" s="171"/>
      <c r="E504" s="23"/>
      <c r="G504" s="33"/>
    </row>
    <row r="505" spans="1:12" x14ac:dyDescent="0.35">
      <c r="B505" s="24"/>
      <c r="C505"/>
      <c r="D505" s="171"/>
      <c r="E505" s="23"/>
      <c r="G505" s="33"/>
    </row>
    <row r="506" spans="1:12" x14ac:dyDescent="0.35">
      <c r="B506" s="22"/>
      <c r="C506" s="22"/>
      <c r="G506" s="33"/>
    </row>
    <row r="507" spans="1:12" x14ac:dyDescent="0.35">
      <c r="B507" s="22"/>
      <c r="C507" s="22"/>
      <c r="G507" s="33"/>
    </row>
    <row r="508" spans="1:12" x14ac:dyDescent="0.35">
      <c r="B508" s="22"/>
      <c r="C508" s="22"/>
      <c r="G508" s="33"/>
    </row>
    <row r="509" spans="1:12" x14ac:dyDescent="0.35">
      <c r="B509" s="22"/>
      <c r="C509" s="22"/>
      <c r="G509" s="33"/>
    </row>
    <row r="510" spans="1:12" x14ac:dyDescent="0.35">
      <c r="B510" s="22"/>
      <c r="C510" s="22"/>
      <c r="G510" s="33"/>
    </row>
    <row r="511" spans="1:12" x14ac:dyDescent="0.35">
      <c r="B511" s="22"/>
      <c r="C511" s="22"/>
      <c r="G511" s="33"/>
    </row>
    <row r="512" spans="1:12" x14ac:dyDescent="0.35">
      <c r="B512" s="22"/>
      <c r="C512" s="22"/>
      <c r="G512" s="33"/>
    </row>
    <row r="513" spans="2:7" x14ac:dyDescent="0.35">
      <c r="B513" s="22"/>
      <c r="C513" s="22"/>
      <c r="G513" s="33"/>
    </row>
    <row r="514" spans="2:7" x14ac:dyDescent="0.35">
      <c r="B514" s="22"/>
      <c r="C514" s="22"/>
      <c r="G514" s="33"/>
    </row>
    <row r="515" spans="2:7" x14ac:dyDescent="0.35">
      <c r="B515" s="22"/>
      <c r="C515" s="22"/>
      <c r="G515" s="33"/>
    </row>
    <row r="516" spans="2:7" x14ac:dyDescent="0.35">
      <c r="B516" s="22"/>
      <c r="C516" s="22"/>
      <c r="G516" s="33"/>
    </row>
    <row r="517" spans="2:7" x14ac:dyDescent="0.35">
      <c r="B517" s="22"/>
      <c r="C517" s="22"/>
      <c r="G517" s="33"/>
    </row>
    <row r="518" spans="2:7" x14ac:dyDescent="0.35">
      <c r="B518" s="22"/>
      <c r="C518" s="22"/>
      <c r="G518" s="33"/>
    </row>
    <row r="519" spans="2:7" x14ac:dyDescent="0.35">
      <c r="B519" s="22"/>
      <c r="C519" s="22"/>
      <c r="G519" s="33"/>
    </row>
    <row r="520" spans="2:7" x14ac:dyDescent="0.35">
      <c r="B520" s="22"/>
      <c r="C520" s="22"/>
      <c r="G520" s="33"/>
    </row>
    <row r="521" spans="2:7" x14ac:dyDescent="0.35">
      <c r="B521" s="22"/>
      <c r="C521" s="22"/>
      <c r="G521" s="33"/>
    </row>
    <row r="522" spans="2:7" x14ac:dyDescent="0.35">
      <c r="B522" s="22"/>
      <c r="C522" s="22"/>
      <c r="G522" s="33"/>
    </row>
  </sheetData>
  <dataConsolidate/>
  <phoneticPr fontId="5" type="noConversion"/>
  <pageMargins left="0.51181102362204722" right="0.51181102362204722" top="0.74803149606299213" bottom="0.74803149606299213" header="0.31496062992125984" footer="0.31496062992125984"/>
  <pageSetup paperSize="9" scale="59" fitToHeight="13" orientation="landscape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F891-9A43-4051-B9AD-7369556D8F6F}">
  <sheetPr>
    <tabColor rgb="FFFFFFCC"/>
  </sheetPr>
  <dimension ref="A2:G10"/>
  <sheetViews>
    <sheetView workbookViewId="0">
      <selection activeCell="A2" sqref="A2"/>
    </sheetView>
  </sheetViews>
  <sheetFormatPr baseColWidth="10" defaultRowHeight="14.5" x14ac:dyDescent="0.35"/>
  <cols>
    <col min="1" max="1" width="25.54296875" customWidth="1"/>
    <col min="2" max="2" width="13.81640625" customWidth="1"/>
    <col min="3" max="6" width="12.1796875" bestFit="1" customWidth="1"/>
  </cols>
  <sheetData>
    <row r="2" spans="1:7" x14ac:dyDescent="0.35">
      <c r="A2" s="169" t="s">
        <v>1309</v>
      </c>
    </row>
    <row r="3" spans="1:7" x14ac:dyDescent="0.35">
      <c r="A3" s="175" t="s">
        <v>1312</v>
      </c>
      <c r="B3" s="176" t="s">
        <v>1278</v>
      </c>
      <c r="C3" s="170" t="s">
        <v>1279</v>
      </c>
      <c r="D3" s="176" t="s">
        <v>1280</v>
      </c>
      <c r="E3" s="170" t="s">
        <v>1277</v>
      </c>
      <c r="F3" s="176" t="s">
        <v>1281</v>
      </c>
      <c r="G3" s="202" t="s">
        <v>1310</v>
      </c>
    </row>
    <row r="4" spans="1:7" x14ac:dyDescent="0.35">
      <c r="A4" s="196">
        <v>2021</v>
      </c>
      <c r="B4" s="197">
        <v>700</v>
      </c>
      <c r="C4" s="198">
        <v>1600</v>
      </c>
      <c r="D4" s="197">
        <v>5916</v>
      </c>
      <c r="E4" s="198">
        <v>2756</v>
      </c>
      <c r="F4" s="197">
        <v>3055</v>
      </c>
      <c r="G4" s="203">
        <f t="shared" ref="G4:G5" si="0">SUM(B4:F4)</f>
        <v>14027</v>
      </c>
    </row>
    <row r="5" spans="1:7" x14ac:dyDescent="0.35">
      <c r="A5" s="196">
        <v>2022</v>
      </c>
      <c r="B5" s="197">
        <v>682</v>
      </c>
      <c r="C5" s="198">
        <v>1528</v>
      </c>
      <c r="D5" s="197">
        <v>5906</v>
      </c>
      <c r="E5" s="198">
        <v>2662</v>
      </c>
      <c r="F5" s="197">
        <v>3001</v>
      </c>
      <c r="G5" s="203">
        <f t="shared" si="0"/>
        <v>13779</v>
      </c>
    </row>
    <row r="6" spans="1:7" x14ac:dyDescent="0.35">
      <c r="A6" s="172">
        <v>2023</v>
      </c>
      <c r="B6" s="132">
        <v>738</v>
      </c>
      <c r="C6">
        <v>1548</v>
      </c>
      <c r="D6" s="132">
        <v>6114</v>
      </c>
      <c r="E6">
        <v>2635</v>
      </c>
      <c r="F6" s="132">
        <v>3050</v>
      </c>
      <c r="G6" s="204">
        <f>SUM(B6:F6)</f>
        <v>14085</v>
      </c>
    </row>
    <row r="7" spans="1:7" x14ac:dyDescent="0.35">
      <c r="A7" s="208" t="s">
        <v>1311</v>
      </c>
      <c r="B7" s="198"/>
      <c r="C7" s="198"/>
      <c r="D7" s="198"/>
      <c r="E7" s="198"/>
      <c r="F7" s="198"/>
      <c r="G7" s="207"/>
    </row>
    <row r="8" spans="1:7" x14ac:dyDescent="0.35">
      <c r="A8" s="199">
        <v>2021</v>
      </c>
      <c r="B8" s="179">
        <f>(B4/G4)</f>
        <v>4.99037570399943E-2</v>
      </c>
      <c r="C8" s="178">
        <f>C4/G4</f>
        <v>0.11406573037712982</v>
      </c>
      <c r="D8" s="179">
        <f>D4/G4</f>
        <v>0.42175803806943751</v>
      </c>
      <c r="E8" s="178">
        <f>E4/G4</f>
        <v>0.19647822057460612</v>
      </c>
      <c r="F8" s="179">
        <f>F4/G4</f>
        <v>0.21779425393883226</v>
      </c>
      <c r="G8" s="206">
        <f>SUM(B8:F8)</f>
        <v>1</v>
      </c>
    </row>
    <row r="9" spans="1:7" x14ac:dyDescent="0.35">
      <c r="A9" s="199">
        <v>2022</v>
      </c>
      <c r="B9" s="200">
        <f>B5/G5</f>
        <v>4.949560926046883E-2</v>
      </c>
      <c r="C9" s="201">
        <f>C5/G5</f>
        <v>0.11089338848973075</v>
      </c>
      <c r="D9" s="200">
        <f>D5/G5</f>
        <v>0.42862326729080485</v>
      </c>
      <c r="E9" s="201">
        <f>E5/G5</f>
        <v>0.19319253937150738</v>
      </c>
      <c r="F9" s="200">
        <f>F5/G5</f>
        <v>0.21779519558748819</v>
      </c>
      <c r="G9" s="205">
        <f t="shared" ref="G9:G10" si="1">SUM(B9:F9)</f>
        <v>1</v>
      </c>
    </row>
    <row r="10" spans="1:7" x14ac:dyDescent="0.35">
      <c r="A10" s="174">
        <v>2023</v>
      </c>
      <c r="B10" s="179">
        <f>B6/G6</f>
        <v>5.2396166134185303E-2</v>
      </c>
      <c r="C10" s="178">
        <f>C6/G6</f>
        <v>0.10990415335463259</v>
      </c>
      <c r="D10" s="179">
        <f>D6/G6</f>
        <v>0.43407880724174652</v>
      </c>
      <c r="E10" s="178">
        <f>E6/G6</f>
        <v>0.18707845225417111</v>
      </c>
      <c r="F10" s="179">
        <f>F6/G6</f>
        <v>0.21654242101526447</v>
      </c>
      <c r="G10" s="206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F188-A810-4D30-B4F2-D876E385E8E3}">
  <sheetPr>
    <tabColor theme="6" tint="0.59999389629810485"/>
  </sheetPr>
  <dimension ref="A1:C13"/>
  <sheetViews>
    <sheetView tabSelected="1" workbookViewId="0">
      <selection activeCell="G7" sqref="G7"/>
    </sheetView>
  </sheetViews>
  <sheetFormatPr baseColWidth="10" defaultRowHeight="14.5" x14ac:dyDescent="0.35"/>
  <cols>
    <col min="1" max="1" width="28.1796875" customWidth="1"/>
    <col min="2" max="2" width="15.08984375" customWidth="1"/>
  </cols>
  <sheetData>
    <row r="1" spans="1:3" x14ac:dyDescent="0.35">
      <c r="A1" s="219" t="s">
        <v>1318</v>
      </c>
      <c r="B1" s="219"/>
      <c r="C1" s="219"/>
    </row>
    <row r="2" spans="1:3" x14ac:dyDescent="0.35">
      <c r="A2" s="220" t="s">
        <v>1319</v>
      </c>
      <c r="B2" s="221">
        <f>'P2026 '!J75+'P2026 '!J67+600000</f>
        <v>2742947.872</v>
      </c>
    </row>
    <row r="3" spans="1:3" x14ac:dyDescent="0.35">
      <c r="A3" s="220" t="s">
        <v>1320</v>
      </c>
      <c r="B3" s="222">
        <f>350000+200000+500000</f>
        <v>1050000</v>
      </c>
    </row>
    <row r="4" spans="1:3" x14ac:dyDescent="0.35">
      <c r="A4" s="220" t="s">
        <v>1321</v>
      </c>
      <c r="B4" s="222">
        <v>200000</v>
      </c>
    </row>
    <row r="5" spans="1:3" x14ac:dyDescent="0.35">
      <c r="A5" s="224" t="s">
        <v>1318</v>
      </c>
      <c r="B5" s="225">
        <f>B2-B3-B4</f>
        <v>1492947.872</v>
      </c>
    </row>
    <row r="8" spans="1:3" x14ac:dyDescent="0.35">
      <c r="A8" s="224" t="s">
        <v>1322</v>
      </c>
      <c r="B8" s="224" t="s">
        <v>1323</v>
      </c>
    </row>
    <row r="9" spans="1:3" x14ac:dyDescent="0.35">
      <c r="A9" s="226" t="s">
        <v>1324</v>
      </c>
      <c r="B9" s="223">
        <f>B5*Medlemmer!D10</f>
        <v>648057.03155186365</v>
      </c>
    </row>
    <row r="10" spans="1:3" x14ac:dyDescent="0.35">
      <c r="A10" s="226" t="s">
        <v>1325</v>
      </c>
      <c r="B10" s="223">
        <f>B5*Medlemmer!F10</f>
        <v>323286.54665246716</v>
      </c>
    </row>
    <row r="11" spans="1:3" x14ac:dyDescent="0.35">
      <c r="A11" s="226" t="s">
        <v>1326</v>
      </c>
      <c r="B11" s="223">
        <f>B5*Medlemmer!E10</f>
        <v>279298.37718991836</v>
      </c>
    </row>
    <row r="12" spans="1:3" x14ac:dyDescent="0.35">
      <c r="A12" s="226" t="s">
        <v>1327</v>
      </c>
      <c r="B12" s="223">
        <f>B5*Medlemmer!C10</f>
        <v>164081.17187476039</v>
      </c>
    </row>
    <row r="13" spans="1:3" x14ac:dyDescent="0.35">
      <c r="A13" s="226" t="s">
        <v>1328</v>
      </c>
      <c r="B13" s="223">
        <f>B5*Medlemmer!B10</f>
        <v>78224.744730990409</v>
      </c>
    </row>
  </sheetData>
  <mergeCells count="1">
    <mergeCell ref="A1:C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2146-5C15-4A26-86E3-187761BEA416}">
  <sheetPr>
    <tabColor theme="7" tint="0.59999389629810485"/>
    <outlinePr summaryBelow="0" summaryRight="0"/>
    <pageSetUpPr fitToPage="1"/>
  </sheetPr>
  <dimension ref="A1:L332"/>
  <sheetViews>
    <sheetView zoomScaleNormal="100" workbookViewId="0">
      <pane ySplit="3" topLeftCell="A4" activePane="bottomLeft" state="frozen"/>
      <selection pane="bottomLeft" activeCell="E322" sqref="E322"/>
    </sheetView>
  </sheetViews>
  <sheetFormatPr baseColWidth="10" defaultColWidth="9.1796875" defaultRowHeight="14.5" outlineLevelRow="1" x14ac:dyDescent="0.35"/>
  <cols>
    <col min="1" max="1" width="7.1796875" style="14" customWidth="1"/>
    <col min="2" max="2" width="62.1796875" style="16" customWidth="1"/>
    <col min="3" max="3" width="63.81640625" style="16" hidden="1" customWidth="1"/>
    <col min="4" max="4" width="17.81640625" style="27" customWidth="1"/>
    <col min="5" max="6" width="17.453125" style="27" customWidth="1"/>
    <col min="7" max="7" width="17.453125" style="28" customWidth="1"/>
    <col min="8" max="9" width="17.453125" style="27" customWidth="1"/>
    <col min="10" max="10" width="17" customWidth="1"/>
    <col min="11" max="11" width="16.81640625" customWidth="1"/>
    <col min="12" max="12" width="17.1796875" customWidth="1"/>
  </cols>
  <sheetData>
    <row r="1" spans="1:12" x14ac:dyDescent="0.35">
      <c r="A1" s="37"/>
      <c r="B1" s="38" t="s">
        <v>1294</v>
      </c>
      <c r="C1" s="39"/>
      <c r="D1" s="39"/>
      <c r="E1" s="39"/>
      <c r="F1" s="39"/>
      <c r="G1" s="39"/>
      <c r="H1" s="39"/>
      <c r="I1" s="39"/>
    </row>
    <row r="2" spans="1:12" x14ac:dyDescent="0.35">
      <c r="A2" s="37"/>
      <c r="B2" s="39"/>
      <c r="C2" s="39"/>
      <c r="D2" s="39"/>
      <c r="E2" s="39"/>
      <c r="F2" s="39"/>
      <c r="G2" s="39"/>
      <c r="H2" s="39"/>
      <c r="I2" s="39"/>
      <c r="J2" s="125" t="s">
        <v>1300</v>
      </c>
    </row>
    <row r="3" spans="1:12" x14ac:dyDescent="0.35">
      <c r="A3" s="40" t="s">
        <v>1</v>
      </c>
      <c r="B3" s="61" t="s">
        <v>2</v>
      </c>
      <c r="C3" s="41" t="s">
        <v>880</v>
      </c>
      <c r="D3" s="82" t="s">
        <v>1278</v>
      </c>
      <c r="E3" s="42" t="s">
        <v>1279</v>
      </c>
      <c r="F3" s="82" t="s">
        <v>1280</v>
      </c>
      <c r="G3" s="19" t="s">
        <v>1277</v>
      </c>
      <c r="H3" s="82" t="s">
        <v>1281</v>
      </c>
      <c r="I3" s="42" t="s">
        <v>1282</v>
      </c>
      <c r="J3" s="107" t="s">
        <v>1297</v>
      </c>
      <c r="K3" s="107" t="s">
        <v>1298</v>
      </c>
      <c r="L3" s="31" t="s">
        <v>1301</v>
      </c>
    </row>
    <row r="4" spans="1:12" collapsed="1" x14ac:dyDescent="0.35">
      <c r="A4" s="37"/>
      <c r="B4" s="62" t="s">
        <v>903</v>
      </c>
      <c r="C4" s="54"/>
      <c r="D4" s="83">
        <f>SUM(D5:D65)</f>
        <v>75802.333333333343</v>
      </c>
      <c r="E4" s="63">
        <f t="shared" ref="E4:H4" si="0">SUM(E5:E65)</f>
        <v>362119</v>
      </c>
      <c r="F4" s="83">
        <f t="shared" si="0"/>
        <v>896753</v>
      </c>
      <c r="G4" s="63">
        <f>SUM(G5:G65)</f>
        <v>1091918</v>
      </c>
      <c r="H4" s="83">
        <f t="shared" si="0"/>
        <v>894746</v>
      </c>
      <c r="I4" s="156">
        <f>SUM(I5:I65)</f>
        <v>224188</v>
      </c>
      <c r="J4" s="159"/>
      <c r="K4" s="134">
        <f>+I4+J4</f>
        <v>224188</v>
      </c>
      <c r="L4" s="130">
        <f>K4+D4+E4+F4+G4+H4</f>
        <v>3545526.3333333335</v>
      </c>
    </row>
    <row r="5" spans="1:12" hidden="1" outlineLevel="1" x14ac:dyDescent="0.35">
      <c r="A5" s="37" t="s">
        <v>328</v>
      </c>
      <c r="B5" s="62" t="s">
        <v>329</v>
      </c>
      <c r="C5" s="54" t="s">
        <v>903</v>
      </c>
      <c r="D5" s="84">
        <f>('R2023'!D5+'R2022'!D5+'R2021'!D5)/3</f>
        <v>0</v>
      </c>
      <c r="E5" s="63"/>
      <c r="F5" s="83">
        <v>50344</v>
      </c>
      <c r="G5" s="64">
        <v>291</v>
      </c>
      <c r="H5" s="85"/>
      <c r="I5" s="64"/>
      <c r="J5" s="85"/>
      <c r="K5" s="134">
        <f t="shared" ref="K5:K68" si="1">I5+J5</f>
        <v>0</v>
      </c>
      <c r="L5" s="130">
        <f t="shared" ref="L5:L68" si="2">K5+D5+E5+F5+G5+H5</f>
        <v>50635</v>
      </c>
    </row>
    <row r="6" spans="1:12" hidden="1" outlineLevel="1" x14ac:dyDescent="0.35">
      <c r="A6" s="37" t="s">
        <v>330</v>
      </c>
      <c r="B6" s="62" t="s">
        <v>331</v>
      </c>
      <c r="C6" s="54" t="s">
        <v>903</v>
      </c>
      <c r="D6" s="84">
        <f>('R2023'!D6+'R2022'!D6+'R2021'!D6)/3</f>
        <v>0</v>
      </c>
      <c r="E6" s="63"/>
      <c r="F6" s="83">
        <v>13531</v>
      </c>
      <c r="G6" s="64">
        <v>11765</v>
      </c>
      <c r="H6" s="85"/>
      <c r="I6" s="64"/>
      <c r="J6" s="85"/>
      <c r="K6" s="134">
        <f t="shared" si="1"/>
        <v>0</v>
      </c>
      <c r="L6" s="130">
        <f t="shared" si="2"/>
        <v>25296</v>
      </c>
    </row>
    <row r="7" spans="1:12" hidden="1" outlineLevel="1" x14ac:dyDescent="0.35">
      <c r="A7" s="37" t="s">
        <v>332</v>
      </c>
      <c r="B7" s="62" t="s">
        <v>333</v>
      </c>
      <c r="C7" s="54" t="s">
        <v>903</v>
      </c>
      <c r="D7" s="84">
        <v>32170</v>
      </c>
      <c r="E7" s="63"/>
      <c r="F7" s="83"/>
      <c r="G7" s="64">
        <v>1017</v>
      </c>
      <c r="H7" s="85">
        <v>106075</v>
      </c>
      <c r="I7" s="212"/>
      <c r="J7" s="85"/>
      <c r="K7" s="134">
        <f t="shared" si="1"/>
        <v>0</v>
      </c>
      <c r="L7" s="130">
        <f t="shared" si="2"/>
        <v>139262</v>
      </c>
    </row>
    <row r="8" spans="1:12" hidden="1" outlineLevel="1" x14ac:dyDescent="0.35">
      <c r="A8" s="37" t="s">
        <v>334</v>
      </c>
      <c r="B8" s="62" t="s">
        <v>335</v>
      </c>
      <c r="C8" s="54" t="s">
        <v>903</v>
      </c>
      <c r="D8" s="84">
        <f>('R2023'!D8+'R2022'!D8+'R2021'!D8)/3</f>
        <v>0</v>
      </c>
      <c r="E8" s="63"/>
      <c r="F8" s="83"/>
      <c r="G8" s="64"/>
      <c r="H8" s="85"/>
      <c r="I8" s="64"/>
      <c r="J8" s="85"/>
      <c r="K8" s="134">
        <f t="shared" si="1"/>
        <v>0</v>
      </c>
      <c r="L8" s="130">
        <f t="shared" si="2"/>
        <v>0</v>
      </c>
    </row>
    <row r="9" spans="1:12" hidden="1" outlineLevel="1" x14ac:dyDescent="0.35">
      <c r="A9" s="37" t="s">
        <v>336</v>
      </c>
      <c r="B9" s="62" t="s">
        <v>337</v>
      </c>
      <c r="C9" s="54" t="s">
        <v>903</v>
      </c>
      <c r="D9" s="84">
        <f>('R2023'!D9+'R2022'!D9+'R2021'!D9)/3</f>
        <v>0</v>
      </c>
      <c r="E9" s="63"/>
      <c r="F9" s="83"/>
      <c r="G9" s="64"/>
      <c r="H9" s="85"/>
      <c r="I9" s="64"/>
      <c r="J9" s="85"/>
      <c r="K9" s="134">
        <f t="shared" si="1"/>
        <v>0</v>
      </c>
      <c r="L9" s="130">
        <f t="shared" si="2"/>
        <v>0</v>
      </c>
    </row>
    <row r="10" spans="1:12" hidden="1" outlineLevel="1" x14ac:dyDescent="0.35">
      <c r="A10" s="37" t="s">
        <v>338</v>
      </c>
      <c r="B10" s="62" t="s">
        <v>339</v>
      </c>
      <c r="C10" s="54" t="s">
        <v>903</v>
      </c>
      <c r="D10" s="84">
        <f>('R2023'!D10+'R2022'!D10+'R2021'!D10)/3</f>
        <v>0</v>
      </c>
      <c r="E10" s="63"/>
      <c r="F10" s="83"/>
      <c r="G10" s="64"/>
      <c r="H10" s="85"/>
      <c r="I10" s="64"/>
      <c r="J10" s="85"/>
      <c r="K10" s="134">
        <f t="shared" si="1"/>
        <v>0</v>
      </c>
      <c r="L10" s="130">
        <f t="shared" si="2"/>
        <v>0</v>
      </c>
    </row>
    <row r="11" spans="1:12" hidden="1" outlineLevel="1" x14ac:dyDescent="0.35">
      <c r="A11" s="37" t="s">
        <v>340</v>
      </c>
      <c r="B11" s="62" t="s">
        <v>341</v>
      </c>
      <c r="C11" s="54" t="s">
        <v>903</v>
      </c>
      <c r="D11" s="84">
        <f>('R2023'!D11+'R2022'!D11+'R2021'!D11)/3</f>
        <v>0</v>
      </c>
      <c r="E11" s="63"/>
      <c r="F11" s="83"/>
      <c r="G11" s="64"/>
      <c r="H11" s="85"/>
      <c r="I11" s="64"/>
      <c r="J11" s="85"/>
      <c r="K11" s="134">
        <f t="shared" si="1"/>
        <v>0</v>
      </c>
      <c r="L11" s="130">
        <f t="shared" si="2"/>
        <v>0</v>
      </c>
    </row>
    <row r="12" spans="1:12" hidden="1" outlineLevel="1" x14ac:dyDescent="0.35">
      <c r="A12" s="37" t="s">
        <v>342</v>
      </c>
      <c r="B12" s="62" t="s">
        <v>343</v>
      </c>
      <c r="C12" s="54" t="s">
        <v>903</v>
      </c>
      <c r="D12" s="84">
        <f>('R2023'!D12+'R2022'!D12+'R2021'!D12)/3</f>
        <v>0</v>
      </c>
      <c r="E12" s="63"/>
      <c r="F12" s="83"/>
      <c r="G12" s="64"/>
      <c r="H12" s="85"/>
      <c r="I12" s="64"/>
      <c r="J12" s="85"/>
      <c r="K12" s="134">
        <f t="shared" si="1"/>
        <v>0</v>
      </c>
      <c r="L12" s="130">
        <f t="shared" si="2"/>
        <v>0</v>
      </c>
    </row>
    <row r="13" spans="1:12" hidden="1" outlineLevel="1" x14ac:dyDescent="0.35">
      <c r="A13" s="37" t="s">
        <v>344</v>
      </c>
      <c r="B13" s="62" t="s">
        <v>345</v>
      </c>
      <c r="C13" s="54" t="s">
        <v>903</v>
      </c>
      <c r="D13" s="84">
        <f>('R2023'!D13+'R2022'!D13+'R2021'!D13)/3</f>
        <v>0</v>
      </c>
      <c r="E13" s="63"/>
      <c r="F13" s="83"/>
      <c r="G13" s="64"/>
      <c r="H13" s="85"/>
      <c r="I13" s="64"/>
      <c r="J13" s="85"/>
      <c r="K13" s="134">
        <f t="shared" si="1"/>
        <v>0</v>
      </c>
      <c r="L13" s="130">
        <f t="shared" si="2"/>
        <v>0</v>
      </c>
    </row>
    <row r="14" spans="1:12" hidden="1" outlineLevel="1" x14ac:dyDescent="0.35">
      <c r="A14" s="37" t="s">
        <v>346</v>
      </c>
      <c r="B14" s="62" t="s">
        <v>347</v>
      </c>
      <c r="C14" s="54" t="s">
        <v>903</v>
      </c>
      <c r="D14" s="84">
        <f>('R2023'!D14+'R2022'!D14+'R2021'!D14)/3</f>
        <v>0</v>
      </c>
      <c r="E14" s="63"/>
      <c r="F14" s="83"/>
      <c r="G14" s="64"/>
      <c r="H14" s="85"/>
      <c r="I14" s="64"/>
      <c r="J14" s="85"/>
      <c r="K14" s="134">
        <f t="shared" si="1"/>
        <v>0</v>
      </c>
      <c r="L14" s="130">
        <f t="shared" si="2"/>
        <v>0</v>
      </c>
    </row>
    <row r="15" spans="1:12" hidden="1" outlineLevel="1" x14ac:dyDescent="0.35">
      <c r="A15" s="37" t="s">
        <v>348</v>
      </c>
      <c r="B15" s="62" t="s">
        <v>349</v>
      </c>
      <c r="C15" s="54" t="s">
        <v>903</v>
      </c>
      <c r="D15" s="84">
        <f>('R2023'!D15+'R2022'!D15+'R2021'!D15)/3</f>
        <v>0</v>
      </c>
      <c r="E15" s="63"/>
      <c r="F15" s="83"/>
      <c r="G15" s="64"/>
      <c r="H15" s="85"/>
      <c r="I15" s="64"/>
      <c r="J15" s="85"/>
      <c r="K15" s="134">
        <f t="shared" si="1"/>
        <v>0</v>
      </c>
      <c r="L15" s="130">
        <f t="shared" si="2"/>
        <v>0</v>
      </c>
    </row>
    <row r="16" spans="1:12" hidden="1" outlineLevel="1" x14ac:dyDescent="0.35">
      <c r="A16" s="37" t="s">
        <v>350</v>
      </c>
      <c r="B16" s="62" t="s">
        <v>351</v>
      </c>
      <c r="C16" s="54" t="s">
        <v>903</v>
      </c>
      <c r="D16" s="84">
        <f>('R2023'!D16+'R2022'!D16+'R2021'!D16)/3</f>
        <v>0</v>
      </c>
      <c r="E16" s="63"/>
      <c r="F16" s="83"/>
      <c r="G16" s="64"/>
      <c r="H16" s="85"/>
      <c r="I16" s="64"/>
      <c r="J16" s="85"/>
      <c r="K16" s="134">
        <f t="shared" si="1"/>
        <v>0</v>
      </c>
      <c r="L16" s="130">
        <f t="shared" si="2"/>
        <v>0</v>
      </c>
    </row>
    <row r="17" spans="1:12" hidden="1" outlineLevel="1" x14ac:dyDescent="0.35">
      <c r="A17" s="37" t="s">
        <v>352</v>
      </c>
      <c r="B17" s="62" t="s">
        <v>353</v>
      </c>
      <c r="C17" s="54" t="s">
        <v>903</v>
      </c>
      <c r="D17" s="84">
        <f>('R2023'!D17+'R2022'!D17+'R2021'!D17)/3</f>
        <v>0</v>
      </c>
      <c r="E17" s="63"/>
      <c r="F17" s="83"/>
      <c r="G17" s="64"/>
      <c r="H17" s="85"/>
      <c r="I17" s="64"/>
      <c r="J17" s="85"/>
      <c r="K17" s="134">
        <f t="shared" si="1"/>
        <v>0</v>
      </c>
      <c r="L17" s="130">
        <f t="shared" si="2"/>
        <v>0</v>
      </c>
    </row>
    <row r="18" spans="1:12" hidden="1" outlineLevel="1" x14ac:dyDescent="0.35">
      <c r="A18" s="37" t="s">
        <v>354</v>
      </c>
      <c r="B18" s="62" t="s">
        <v>355</v>
      </c>
      <c r="C18" s="54" t="s">
        <v>903</v>
      </c>
      <c r="D18" s="84">
        <f>('R2023'!D18+'R2022'!D18+'R2021'!D18)/3</f>
        <v>0</v>
      </c>
      <c r="E18" s="63"/>
      <c r="F18" s="83"/>
      <c r="G18" s="64"/>
      <c r="H18" s="85"/>
      <c r="I18" s="64"/>
      <c r="J18" s="85"/>
      <c r="K18" s="134">
        <f t="shared" si="1"/>
        <v>0</v>
      </c>
      <c r="L18" s="130">
        <f t="shared" si="2"/>
        <v>0</v>
      </c>
    </row>
    <row r="19" spans="1:12" hidden="1" outlineLevel="1" x14ac:dyDescent="0.35">
      <c r="A19" s="37" t="s">
        <v>356</v>
      </c>
      <c r="B19" s="62" t="s">
        <v>357</v>
      </c>
      <c r="C19" s="54" t="s">
        <v>903</v>
      </c>
      <c r="D19" s="84">
        <f>('R2023'!D19+'R2022'!D19+'R2021'!D19)/3</f>
        <v>0</v>
      </c>
      <c r="E19" s="63"/>
      <c r="F19" s="83"/>
      <c r="G19" s="64">
        <v>5600</v>
      </c>
      <c r="H19" s="85"/>
      <c r="I19" s="64"/>
      <c r="J19" s="85"/>
      <c r="K19" s="134">
        <f t="shared" si="1"/>
        <v>0</v>
      </c>
      <c r="L19" s="130">
        <f t="shared" si="2"/>
        <v>5600</v>
      </c>
    </row>
    <row r="20" spans="1:12" hidden="1" outlineLevel="1" x14ac:dyDescent="0.35">
      <c r="A20" s="37" t="s">
        <v>358</v>
      </c>
      <c r="B20" s="62" t="s">
        <v>359</v>
      </c>
      <c r="C20" s="54" t="s">
        <v>903</v>
      </c>
      <c r="D20" s="84">
        <f>('R2023'!D20+'R2022'!D20+'R2021'!D20)/3</f>
        <v>0</v>
      </c>
      <c r="E20" s="63"/>
      <c r="F20" s="83">
        <v>56356</v>
      </c>
      <c r="G20" s="64">
        <v>23130</v>
      </c>
      <c r="H20" s="85"/>
      <c r="I20" s="64"/>
      <c r="J20" s="85"/>
      <c r="K20" s="134">
        <f t="shared" si="1"/>
        <v>0</v>
      </c>
      <c r="L20" s="130">
        <f t="shared" si="2"/>
        <v>79486</v>
      </c>
    </row>
    <row r="21" spans="1:12" hidden="1" outlineLevel="1" x14ac:dyDescent="0.35">
      <c r="A21" s="37" t="s">
        <v>360</v>
      </c>
      <c r="B21" s="62" t="s">
        <v>361</v>
      </c>
      <c r="C21" s="54" t="s">
        <v>903</v>
      </c>
      <c r="D21" s="84">
        <f>('R2023'!D21+'R2022'!D21+'R2021'!D21)/3</f>
        <v>0</v>
      </c>
      <c r="E21" s="63"/>
      <c r="F21" s="83">
        <v>44601</v>
      </c>
      <c r="G21" s="64">
        <v>433</v>
      </c>
      <c r="H21" s="85">
        <v>126833</v>
      </c>
      <c r="I21" s="64"/>
      <c r="J21" s="85"/>
      <c r="K21" s="134">
        <f t="shared" si="1"/>
        <v>0</v>
      </c>
      <c r="L21" s="130">
        <f t="shared" si="2"/>
        <v>171867</v>
      </c>
    </row>
    <row r="22" spans="1:12" hidden="1" outlineLevel="1" x14ac:dyDescent="0.35">
      <c r="A22" s="37" t="s">
        <v>362</v>
      </c>
      <c r="B22" s="62" t="s">
        <v>363</v>
      </c>
      <c r="C22" s="54" t="s">
        <v>903</v>
      </c>
      <c r="D22" s="84">
        <f>('R2023'!D22+'R2022'!D22+'R2021'!D22)/3</f>
        <v>0</v>
      </c>
      <c r="E22" s="63"/>
      <c r="F22" s="83">
        <v>11445</v>
      </c>
      <c r="G22" s="64">
        <v>9974</v>
      </c>
      <c r="H22" s="85">
        <v>52900</v>
      </c>
      <c r="I22" s="64"/>
      <c r="J22" s="85"/>
      <c r="K22" s="134">
        <f t="shared" si="1"/>
        <v>0</v>
      </c>
      <c r="L22" s="130">
        <f t="shared" si="2"/>
        <v>74319</v>
      </c>
    </row>
    <row r="23" spans="1:12" hidden="1" outlineLevel="1" x14ac:dyDescent="0.35">
      <c r="A23" s="37" t="s">
        <v>364</v>
      </c>
      <c r="B23" s="62" t="s">
        <v>365</v>
      </c>
      <c r="C23" s="54" t="s">
        <v>903</v>
      </c>
      <c r="D23" s="84">
        <f>5500/3</f>
        <v>1833.3333333333333</v>
      </c>
      <c r="E23" s="63"/>
      <c r="F23" s="83">
        <v>35089</v>
      </c>
      <c r="G23" s="64">
        <v>40</v>
      </c>
      <c r="H23" s="85"/>
      <c r="I23" s="64"/>
      <c r="J23" s="85"/>
      <c r="K23" s="134">
        <f t="shared" si="1"/>
        <v>0</v>
      </c>
      <c r="L23" s="130">
        <f t="shared" si="2"/>
        <v>36962.333333333336</v>
      </c>
    </row>
    <row r="24" spans="1:12" hidden="1" outlineLevel="1" x14ac:dyDescent="0.35">
      <c r="A24" s="37" t="s">
        <v>366</v>
      </c>
      <c r="B24" s="62" t="s">
        <v>367</v>
      </c>
      <c r="C24" s="54" t="s">
        <v>903</v>
      </c>
      <c r="D24" s="84">
        <f>('R2023'!D24+'R2022'!D24+'R2021'!D24)/3</f>
        <v>0</v>
      </c>
      <c r="E24" s="63"/>
      <c r="F24" s="83"/>
      <c r="G24" s="64"/>
      <c r="H24" s="85"/>
      <c r="I24" s="64"/>
      <c r="J24" s="85"/>
      <c r="K24" s="134">
        <f t="shared" si="1"/>
        <v>0</v>
      </c>
      <c r="L24" s="130">
        <f t="shared" si="2"/>
        <v>0</v>
      </c>
    </row>
    <row r="25" spans="1:12" hidden="1" outlineLevel="1" x14ac:dyDescent="0.35">
      <c r="A25" s="37" t="s">
        <v>368</v>
      </c>
      <c r="B25" s="62" t="s">
        <v>906</v>
      </c>
      <c r="C25" s="54" t="s">
        <v>903</v>
      </c>
      <c r="D25" s="84">
        <f>('R2023'!D25+'R2022'!D25+'R2021'!D25)/3</f>
        <v>0</v>
      </c>
      <c r="E25" s="63"/>
      <c r="F25" s="83"/>
      <c r="G25" s="64"/>
      <c r="H25" s="85"/>
      <c r="I25" s="64"/>
      <c r="J25" s="85"/>
      <c r="K25" s="134">
        <f t="shared" si="1"/>
        <v>0</v>
      </c>
      <c r="L25" s="130">
        <f t="shared" si="2"/>
        <v>0</v>
      </c>
    </row>
    <row r="26" spans="1:12" hidden="1" outlineLevel="1" x14ac:dyDescent="0.35">
      <c r="A26" s="37" t="s">
        <v>370</v>
      </c>
      <c r="B26" s="62" t="s">
        <v>371</v>
      </c>
      <c r="C26" s="54" t="s">
        <v>903</v>
      </c>
      <c r="D26" s="84">
        <f>('R2023'!D26+'R2022'!D26+'R2021'!D26)/3</f>
        <v>0</v>
      </c>
      <c r="E26" s="63"/>
      <c r="F26" s="83"/>
      <c r="G26" s="64"/>
      <c r="H26" s="85"/>
      <c r="I26" s="64"/>
      <c r="J26" s="85"/>
      <c r="K26" s="134">
        <f t="shared" si="1"/>
        <v>0</v>
      </c>
      <c r="L26" s="130">
        <f t="shared" si="2"/>
        <v>0</v>
      </c>
    </row>
    <row r="27" spans="1:12" hidden="1" outlineLevel="1" x14ac:dyDescent="0.35">
      <c r="A27" s="37" t="s">
        <v>372</v>
      </c>
      <c r="B27" s="62" t="s">
        <v>373</v>
      </c>
      <c r="C27" s="54" t="s">
        <v>903</v>
      </c>
      <c r="D27" s="84">
        <f>('R2023'!D27+'R2022'!D27+'R2021'!D27)/3</f>
        <v>0</v>
      </c>
      <c r="E27" s="63"/>
      <c r="F27" s="83">
        <v>55962</v>
      </c>
      <c r="G27" s="64"/>
      <c r="H27" s="85"/>
      <c r="I27" s="64"/>
      <c r="J27" s="85"/>
      <c r="K27" s="134">
        <f t="shared" si="1"/>
        <v>0</v>
      </c>
      <c r="L27" s="130">
        <f t="shared" si="2"/>
        <v>55962</v>
      </c>
    </row>
    <row r="28" spans="1:12" hidden="1" outlineLevel="1" x14ac:dyDescent="0.35">
      <c r="A28" s="37" t="s">
        <v>374</v>
      </c>
      <c r="B28" s="62" t="s">
        <v>907</v>
      </c>
      <c r="C28" s="54" t="s">
        <v>903</v>
      </c>
      <c r="D28" s="84">
        <f>('R2023'!D28+'R2022'!D28+'R2021'!D28)/3</f>
        <v>0</v>
      </c>
      <c r="E28" s="63"/>
      <c r="F28" s="83">
        <v>130843</v>
      </c>
      <c r="G28" s="162">
        <v>109689</v>
      </c>
      <c r="H28" s="85">
        <v>122762</v>
      </c>
      <c r="I28" s="64"/>
      <c r="J28" s="85"/>
      <c r="K28" s="134">
        <f t="shared" si="1"/>
        <v>0</v>
      </c>
      <c r="L28" s="130">
        <f t="shared" si="2"/>
        <v>363294</v>
      </c>
    </row>
    <row r="29" spans="1:12" hidden="1" outlineLevel="1" x14ac:dyDescent="0.35">
      <c r="A29" s="37" t="s">
        <v>375</v>
      </c>
      <c r="B29" s="62" t="s">
        <v>376</v>
      </c>
      <c r="C29" s="54" t="s">
        <v>903</v>
      </c>
      <c r="D29" s="84">
        <f>('R2023'!D29+'R2022'!D29+'R2021'!D29)/3</f>
        <v>0</v>
      </c>
      <c r="E29" s="63"/>
      <c r="F29" s="83"/>
      <c r="G29" s="64"/>
      <c r="H29" s="85"/>
      <c r="I29" s="64"/>
      <c r="J29" s="85"/>
      <c r="K29" s="134">
        <f t="shared" si="1"/>
        <v>0</v>
      </c>
      <c r="L29" s="130">
        <f t="shared" si="2"/>
        <v>0</v>
      </c>
    </row>
    <row r="30" spans="1:12" hidden="1" outlineLevel="1" x14ac:dyDescent="0.35">
      <c r="A30" s="37" t="s">
        <v>377</v>
      </c>
      <c r="B30" s="62" t="s">
        <v>378</v>
      </c>
      <c r="C30" s="54" t="s">
        <v>903</v>
      </c>
      <c r="D30" s="84">
        <f>('R2023'!D30+'R2022'!D30+'R2021'!D30)/3</f>
        <v>0</v>
      </c>
      <c r="E30" s="63"/>
      <c r="F30" s="83"/>
      <c r="G30" s="64"/>
      <c r="H30" s="85"/>
      <c r="I30" s="64"/>
      <c r="J30" s="85"/>
      <c r="K30" s="134">
        <f t="shared" si="1"/>
        <v>0</v>
      </c>
      <c r="L30" s="130">
        <f t="shared" si="2"/>
        <v>0</v>
      </c>
    </row>
    <row r="31" spans="1:12" hidden="1" outlineLevel="1" x14ac:dyDescent="0.35">
      <c r="A31" s="37" t="s">
        <v>379</v>
      </c>
      <c r="B31" s="62" t="s">
        <v>380</v>
      </c>
      <c r="C31" s="54" t="s">
        <v>903</v>
      </c>
      <c r="D31" s="84">
        <f>('R2023'!D31+'R2022'!D31+'R2021'!D31)/3</f>
        <v>0</v>
      </c>
      <c r="E31" s="63"/>
      <c r="F31" s="83"/>
      <c r="G31" s="64"/>
      <c r="H31" s="85"/>
      <c r="I31" s="64"/>
      <c r="J31" s="85"/>
      <c r="K31" s="134">
        <f t="shared" si="1"/>
        <v>0</v>
      </c>
      <c r="L31" s="130">
        <f t="shared" si="2"/>
        <v>0</v>
      </c>
    </row>
    <row r="32" spans="1:12" hidden="1" outlineLevel="1" x14ac:dyDescent="0.35">
      <c r="A32" s="37" t="s">
        <v>381</v>
      </c>
      <c r="B32" s="62" t="s">
        <v>382</v>
      </c>
      <c r="C32" s="54" t="s">
        <v>903</v>
      </c>
      <c r="D32" s="84">
        <f>('R2023'!D32+'R2022'!D32+'R2021'!D32)/3</f>
        <v>0</v>
      </c>
      <c r="E32" s="63"/>
      <c r="F32" s="83"/>
      <c r="G32" s="64">
        <v>107</v>
      </c>
      <c r="H32" s="85"/>
      <c r="I32" s="64"/>
      <c r="J32" s="85"/>
      <c r="K32" s="134">
        <f t="shared" si="1"/>
        <v>0</v>
      </c>
      <c r="L32" s="130">
        <f t="shared" si="2"/>
        <v>107</v>
      </c>
    </row>
    <row r="33" spans="1:12" hidden="1" outlineLevel="1" x14ac:dyDescent="0.35">
      <c r="A33" s="37" t="s">
        <v>383</v>
      </c>
      <c r="B33" s="62" t="s">
        <v>384</v>
      </c>
      <c r="C33" s="54" t="s">
        <v>903</v>
      </c>
      <c r="D33" s="84">
        <v>41799</v>
      </c>
      <c r="E33" s="63"/>
      <c r="F33" s="83"/>
      <c r="G33" s="64"/>
      <c r="H33" s="85"/>
      <c r="I33" s="64"/>
      <c r="J33" s="85"/>
      <c r="K33" s="134">
        <f t="shared" si="1"/>
        <v>0</v>
      </c>
      <c r="L33" s="130">
        <f t="shared" si="2"/>
        <v>41799</v>
      </c>
    </row>
    <row r="34" spans="1:12" hidden="1" outlineLevel="1" x14ac:dyDescent="0.35">
      <c r="A34" s="37" t="s">
        <v>385</v>
      </c>
      <c r="B34" s="62" t="s">
        <v>386</v>
      </c>
      <c r="C34" s="54" t="s">
        <v>903</v>
      </c>
      <c r="D34" s="84">
        <f>('R2023'!D34+'R2022'!D34+'R2021'!D34)/3</f>
        <v>0</v>
      </c>
      <c r="E34" s="63"/>
      <c r="F34" s="83"/>
      <c r="G34" s="162"/>
      <c r="H34" s="85"/>
      <c r="I34" s="64"/>
      <c r="J34" s="85"/>
      <c r="K34" s="134">
        <f t="shared" si="1"/>
        <v>0</v>
      </c>
      <c r="L34" s="130">
        <f t="shared" si="2"/>
        <v>0</v>
      </c>
    </row>
    <row r="35" spans="1:12" hidden="1" outlineLevel="1" x14ac:dyDescent="0.35">
      <c r="A35" s="37">
        <v>3078</v>
      </c>
      <c r="B35" s="62" t="s">
        <v>388</v>
      </c>
      <c r="C35" s="54" t="s">
        <v>903</v>
      </c>
      <c r="D35" s="84">
        <f>('R2023'!D35+'R2022'!D35+'R2021'!D35)/3</f>
        <v>0</v>
      </c>
      <c r="E35" s="63"/>
      <c r="F35" s="83"/>
      <c r="G35" s="64"/>
      <c r="H35" s="85"/>
      <c r="I35" s="64"/>
      <c r="J35" s="85"/>
      <c r="K35" s="134">
        <f t="shared" si="1"/>
        <v>0</v>
      </c>
      <c r="L35" s="130">
        <f t="shared" si="2"/>
        <v>0</v>
      </c>
    </row>
    <row r="36" spans="1:12" hidden="1" outlineLevel="1" x14ac:dyDescent="0.35">
      <c r="A36" s="37" t="s">
        <v>389</v>
      </c>
      <c r="B36" s="62" t="s">
        <v>390</v>
      </c>
      <c r="C36" s="54" t="s">
        <v>903</v>
      </c>
      <c r="D36" s="84">
        <f>('R2023'!D36+'R2022'!D36+'R2021'!D36)/3</f>
        <v>0</v>
      </c>
      <c r="E36" s="63"/>
      <c r="F36" s="83"/>
      <c r="G36" s="64"/>
      <c r="H36" s="85"/>
      <c r="I36" s="64"/>
      <c r="J36" s="85"/>
      <c r="K36" s="134">
        <f t="shared" si="1"/>
        <v>0</v>
      </c>
      <c r="L36" s="130">
        <f t="shared" si="2"/>
        <v>0</v>
      </c>
    </row>
    <row r="37" spans="1:12" hidden="1" outlineLevel="1" x14ac:dyDescent="0.35">
      <c r="A37" s="37" t="s">
        <v>908</v>
      </c>
      <c r="B37" s="74" t="s">
        <v>909</v>
      </c>
      <c r="C37" s="54" t="s">
        <v>903</v>
      </c>
      <c r="D37" s="84">
        <f>('R2023'!D37+'R2022'!D37+'R2021'!D37)/3</f>
        <v>0</v>
      </c>
      <c r="E37" s="63"/>
      <c r="F37" s="83"/>
      <c r="G37" s="64"/>
      <c r="H37" s="85"/>
      <c r="I37" s="64"/>
      <c r="J37" s="85"/>
      <c r="K37" s="134">
        <f t="shared" si="1"/>
        <v>0</v>
      </c>
      <c r="L37" s="130">
        <f t="shared" si="2"/>
        <v>0</v>
      </c>
    </row>
    <row r="38" spans="1:12" hidden="1" outlineLevel="1" x14ac:dyDescent="0.35">
      <c r="A38" s="37" t="s">
        <v>391</v>
      </c>
      <c r="B38" s="62" t="s">
        <v>392</v>
      </c>
      <c r="C38" s="54" t="s">
        <v>903</v>
      </c>
      <c r="D38" s="84">
        <f>('R2023'!D38+'R2022'!D38+'R2021'!D38)/3</f>
        <v>0</v>
      </c>
      <c r="E38" s="63"/>
      <c r="F38" s="83"/>
      <c r="G38" s="64"/>
      <c r="H38" s="85"/>
      <c r="I38" s="64"/>
      <c r="J38" s="85"/>
      <c r="K38" s="134">
        <f t="shared" si="1"/>
        <v>0</v>
      </c>
      <c r="L38" s="130">
        <f t="shared" si="2"/>
        <v>0</v>
      </c>
    </row>
    <row r="39" spans="1:12" hidden="1" outlineLevel="1" x14ac:dyDescent="0.35">
      <c r="A39" s="37" t="s">
        <v>393</v>
      </c>
      <c r="B39" s="62" t="s">
        <v>394</v>
      </c>
      <c r="C39" s="54" t="s">
        <v>903</v>
      </c>
      <c r="D39" s="84">
        <f>('R2023'!D39+'R2022'!D39+'R2021'!D39)/3</f>
        <v>0</v>
      </c>
      <c r="E39" s="63"/>
      <c r="F39" s="83"/>
      <c r="G39" s="162">
        <v>35620</v>
      </c>
      <c r="H39" s="85"/>
      <c r="I39" s="64"/>
      <c r="J39" s="85"/>
      <c r="K39" s="134">
        <f t="shared" si="1"/>
        <v>0</v>
      </c>
      <c r="L39" s="130">
        <f t="shared" si="2"/>
        <v>35620</v>
      </c>
    </row>
    <row r="40" spans="1:12" hidden="1" outlineLevel="1" x14ac:dyDescent="0.35">
      <c r="A40" s="37" t="s">
        <v>395</v>
      </c>
      <c r="B40" s="62" t="s">
        <v>396</v>
      </c>
      <c r="C40" s="54" t="s">
        <v>903</v>
      </c>
      <c r="D40" s="84">
        <f>('R2023'!D40+'R2022'!D40+'R2021'!D40)/3</f>
        <v>0</v>
      </c>
      <c r="E40" s="63"/>
      <c r="F40" s="83"/>
      <c r="G40" s="64"/>
      <c r="H40" s="85"/>
      <c r="I40" s="64">
        <v>5000</v>
      </c>
      <c r="J40" s="85"/>
      <c r="K40" s="134">
        <f t="shared" si="1"/>
        <v>5000</v>
      </c>
      <c r="L40" s="130">
        <f t="shared" si="2"/>
        <v>5000</v>
      </c>
    </row>
    <row r="41" spans="1:12" hidden="1" outlineLevel="1" x14ac:dyDescent="0.35">
      <c r="A41" s="37" t="s">
        <v>397</v>
      </c>
      <c r="B41" s="62" t="s">
        <v>398</v>
      </c>
      <c r="C41" s="54" t="s">
        <v>903</v>
      </c>
      <c r="D41" s="84">
        <f>('R2023'!D41+'R2022'!D41+'R2021'!D41)/3</f>
        <v>0</v>
      </c>
      <c r="E41" s="63"/>
      <c r="F41" s="83"/>
      <c r="G41" s="64">
        <v>73</v>
      </c>
      <c r="H41" s="85"/>
      <c r="I41" s="64"/>
      <c r="J41" s="85"/>
      <c r="K41" s="134">
        <f t="shared" si="1"/>
        <v>0</v>
      </c>
      <c r="L41" s="130">
        <f t="shared" si="2"/>
        <v>73</v>
      </c>
    </row>
    <row r="42" spans="1:12" hidden="1" outlineLevel="1" x14ac:dyDescent="0.35">
      <c r="A42" s="37" t="s">
        <v>399</v>
      </c>
      <c r="B42" s="62" t="s">
        <v>400</v>
      </c>
      <c r="C42" s="54" t="s">
        <v>903</v>
      </c>
      <c r="D42" s="84">
        <f>('R2023'!D42+'R2022'!D42+'R2021'!D42)/3</f>
        <v>0</v>
      </c>
      <c r="E42" s="63"/>
      <c r="F42" s="83"/>
      <c r="G42" s="64"/>
      <c r="H42" s="85"/>
      <c r="I42" s="64"/>
      <c r="J42" s="85"/>
      <c r="K42" s="134">
        <f t="shared" si="1"/>
        <v>0</v>
      </c>
      <c r="L42" s="130">
        <f t="shared" si="2"/>
        <v>0</v>
      </c>
    </row>
    <row r="43" spans="1:12" hidden="1" outlineLevel="1" x14ac:dyDescent="0.35">
      <c r="A43" s="37" t="s">
        <v>401</v>
      </c>
      <c r="B43" s="62" t="s">
        <v>402</v>
      </c>
      <c r="C43" s="54" t="s">
        <v>903</v>
      </c>
      <c r="D43" s="84">
        <f>('R2023'!D43+'R2022'!D43+'R2021'!D43)/3</f>
        <v>0</v>
      </c>
      <c r="E43" s="63"/>
      <c r="F43" s="83"/>
      <c r="G43" s="64">
        <v>546</v>
      </c>
      <c r="H43" s="85"/>
      <c r="I43" s="64"/>
      <c r="J43" s="85"/>
      <c r="K43" s="134">
        <f t="shared" si="1"/>
        <v>0</v>
      </c>
      <c r="L43" s="130">
        <f t="shared" si="2"/>
        <v>546</v>
      </c>
    </row>
    <row r="44" spans="1:12" hidden="1" outlineLevel="1" x14ac:dyDescent="0.35">
      <c r="A44" s="37" t="s">
        <v>403</v>
      </c>
      <c r="B44" s="62" t="s">
        <v>404</v>
      </c>
      <c r="C44" s="54" t="s">
        <v>903</v>
      </c>
      <c r="D44" s="84">
        <f>('R2023'!D44+'R2022'!D44+'R2021'!D44)/3</f>
        <v>0</v>
      </c>
      <c r="E44" s="63"/>
      <c r="F44" s="83"/>
      <c r="G44" s="64"/>
      <c r="H44" s="85"/>
      <c r="I44" s="64"/>
      <c r="J44" s="85"/>
      <c r="K44" s="134">
        <f t="shared" si="1"/>
        <v>0</v>
      </c>
      <c r="L44" s="130">
        <f t="shared" si="2"/>
        <v>0</v>
      </c>
    </row>
    <row r="45" spans="1:12" hidden="1" outlineLevel="1" x14ac:dyDescent="0.35">
      <c r="A45" s="37" t="s">
        <v>405</v>
      </c>
      <c r="B45" s="62" t="s">
        <v>406</v>
      </c>
      <c r="C45" s="54" t="s">
        <v>903</v>
      </c>
      <c r="D45" s="84">
        <f>('R2023'!D45+'R2022'!D45+'R2021'!D45)/3</f>
        <v>0</v>
      </c>
      <c r="E45" s="63"/>
      <c r="F45" s="83">
        <v>93069</v>
      </c>
      <c r="G45" s="64"/>
      <c r="H45" s="85"/>
      <c r="I45" s="64"/>
      <c r="J45" s="85"/>
      <c r="K45" s="134">
        <f t="shared" si="1"/>
        <v>0</v>
      </c>
      <c r="L45" s="130">
        <f t="shared" si="2"/>
        <v>93069</v>
      </c>
    </row>
    <row r="46" spans="1:12" hidden="1" outlineLevel="1" x14ac:dyDescent="0.35">
      <c r="A46" s="37" t="s">
        <v>407</v>
      </c>
      <c r="B46" s="62" t="s">
        <v>408</v>
      </c>
      <c r="C46" s="54" t="s">
        <v>903</v>
      </c>
      <c r="D46" s="84">
        <f>('R2023'!D46+'R2022'!D46+'R2021'!D46)/3</f>
        <v>0</v>
      </c>
      <c r="E46" s="63"/>
      <c r="F46" s="83">
        <v>109941</v>
      </c>
      <c r="G46" s="162"/>
      <c r="H46" s="85">
        <v>290543</v>
      </c>
      <c r="I46" s="64">
        <v>63893</v>
      </c>
      <c r="J46" s="85"/>
      <c r="K46" s="134">
        <f t="shared" si="1"/>
        <v>63893</v>
      </c>
      <c r="L46" s="130">
        <f t="shared" si="2"/>
        <v>464377</v>
      </c>
    </row>
    <row r="47" spans="1:12" hidden="1" outlineLevel="1" x14ac:dyDescent="0.35">
      <c r="A47" s="37" t="s">
        <v>409</v>
      </c>
      <c r="B47" s="62" t="s">
        <v>410</v>
      </c>
      <c r="C47" s="54" t="s">
        <v>903</v>
      </c>
      <c r="D47" s="84">
        <f>('R2023'!D47+'R2022'!D47+'R2021'!D47)/3</f>
        <v>0</v>
      </c>
      <c r="E47" s="63"/>
      <c r="F47" s="83"/>
      <c r="G47" s="64"/>
      <c r="H47" s="85"/>
      <c r="I47" s="64"/>
      <c r="J47" s="85"/>
      <c r="K47" s="134">
        <f t="shared" si="1"/>
        <v>0</v>
      </c>
      <c r="L47" s="130">
        <f t="shared" si="2"/>
        <v>0</v>
      </c>
    </row>
    <row r="48" spans="1:12" hidden="1" outlineLevel="1" x14ac:dyDescent="0.35">
      <c r="A48" s="37" t="s">
        <v>411</v>
      </c>
      <c r="B48" s="62" t="s">
        <v>412</v>
      </c>
      <c r="C48" s="54" t="s">
        <v>903</v>
      </c>
      <c r="D48" s="84">
        <f>('R2023'!D48+'R2022'!D48+'R2021'!D48)/3</f>
        <v>0</v>
      </c>
      <c r="E48" s="63">
        <v>757</v>
      </c>
      <c r="F48" s="83"/>
      <c r="G48" s="64">
        <v>21441</v>
      </c>
      <c r="H48" s="85"/>
      <c r="I48" s="64"/>
      <c r="J48" s="85"/>
      <c r="K48" s="134">
        <f t="shared" si="1"/>
        <v>0</v>
      </c>
      <c r="L48" s="130">
        <f t="shared" si="2"/>
        <v>22198</v>
      </c>
    </row>
    <row r="49" spans="1:12" hidden="1" outlineLevel="1" x14ac:dyDescent="0.35">
      <c r="A49" s="37" t="s">
        <v>413</v>
      </c>
      <c r="B49" s="62" t="s">
        <v>414</v>
      </c>
      <c r="C49" s="54" t="s">
        <v>903</v>
      </c>
      <c r="D49" s="84">
        <f>('R2023'!D49+'R2022'!D49+'R2021'!D49)/3</f>
        <v>0</v>
      </c>
      <c r="E49" s="63">
        <v>165013</v>
      </c>
      <c r="F49" s="83">
        <v>153315</v>
      </c>
      <c r="G49" s="162">
        <v>489633</v>
      </c>
      <c r="H49" s="85"/>
      <c r="I49" s="64">
        <v>98684</v>
      </c>
      <c r="J49" s="85"/>
      <c r="K49" s="134">
        <f t="shared" si="1"/>
        <v>98684</v>
      </c>
      <c r="L49" s="130">
        <f t="shared" si="2"/>
        <v>906645</v>
      </c>
    </row>
    <row r="50" spans="1:12" hidden="1" outlineLevel="1" x14ac:dyDescent="0.35">
      <c r="A50" s="37" t="s">
        <v>415</v>
      </c>
      <c r="B50" s="62" t="s">
        <v>416</v>
      </c>
      <c r="C50" s="54" t="s">
        <v>903</v>
      </c>
      <c r="D50" s="84">
        <f>('R2023'!D50+'R2022'!D50+'R2021'!D50)/3</f>
        <v>0</v>
      </c>
      <c r="E50" s="63">
        <v>33767</v>
      </c>
      <c r="F50" s="83">
        <v>122128</v>
      </c>
      <c r="G50" s="64">
        <v>30000</v>
      </c>
      <c r="H50" s="85"/>
      <c r="I50" s="64">
        <v>35911</v>
      </c>
      <c r="J50" s="85"/>
      <c r="K50" s="134">
        <f t="shared" si="1"/>
        <v>35911</v>
      </c>
      <c r="L50" s="130">
        <f t="shared" si="2"/>
        <v>221806</v>
      </c>
    </row>
    <row r="51" spans="1:12" hidden="1" outlineLevel="1" x14ac:dyDescent="0.35">
      <c r="A51" s="37" t="s">
        <v>417</v>
      </c>
      <c r="B51" s="62" t="s">
        <v>418</v>
      </c>
      <c r="C51" s="54" t="s">
        <v>903</v>
      </c>
      <c r="D51" s="84">
        <f>('R2023'!D51+'R2022'!D51+'R2021'!D51)/3</f>
        <v>0</v>
      </c>
      <c r="E51" s="63"/>
      <c r="F51" s="83"/>
      <c r="G51" s="64"/>
      <c r="H51" s="85"/>
      <c r="I51" s="64"/>
      <c r="J51" s="85"/>
      <c r="K51" s="134">
        <f t="shared" si="1"/>
        <v>0</v>
      </c>
      <c r="L51" s="130">
        <f t="shared" si="2"/>
        <v>0</v>
      </c>
    </row>
    <row r="52" spans="1:12" hidden="1" outlineLevel="1" x14ac:dyDescent="0.35">
      <c r="A52" s="37" t="s">
        <v>419</v>
      </c>
      <c r="B52" s="62" t="s">
        <v>420</v>
      </c>
      <c r="C52" s="54" t="s">
        <v>903</v>
      </c>
      <c r="D52" s="84">
        <f>('R2023'!D52+'R2022'!D52+'R2021'!D52)/3</f>
        <v>0</v>
      </c>
      <c r="E52" s="63"/>
      <c r="F52" s="83"/>
      <c r="G52" s="162">
        <v>28827</v>
      </c>
      <c r="H52" s="85"/>
      <c r="I52" s="64"/>
      <c r="J52" s="85"/>
      <c r="K52" s="134">
        <f t="shared" si="1"/>
        <v>0</v>
      </c>
      <c r="L52" s="130">
        <f t="shared" si="2"/>
        <v>28827</v>
      </c>
    </row>
    <row r="53" spans="1:12" hidden="1" outlineLevel="1" x14ac:dyDescent="0.35">
      <c r="A53" s="37" t="s">
        <v>912</v>
      </c>
      <c r="B53" s="62" t="s">
        <v>913</v>
      </c>
      <c r="C53" s="54" t="s">
        <v>903</v>
      </c>
      <c r="D53" s="84">
        <f>('R2023'!D53+'R2022'!D53+'R2021'!D53)/3</f>
        <v>0</v>
      </c>
      <c r="E53" s="63"/>
      <c r="F53" s="83"/>
      <c r="G53" s="64"/>
      <c r="H53" s="85"/>
      <c r="I53" s="64">
        <v>20700</v>
      </c>
      <c r="J53" s="85"/>
      <c r="K53" s="134">
        <f t="shared" si="1"/>
        <v>20700</v>
      </c>
      <c r="L53" s="130">
        <f t="shared" si="2"/>
        <v>20700</v>
      </c>
    </row>
    <row r="54" spans="1:12" hidden="1" outlineLevel="1" x14ac:dyDescent="0.35">
      <c r="A54" s="37" t="s">
        <v>421</v>
      </c>
      <c r="B54" s="62" t="s">
        <v>422</v>
      </c>
      <c r="C54" s="54" t="s">
        <v>903</v>
      </c>
      <c r="D54" s="84">
        <f>('R2023'!D54+'R2022'!D54+'R2021'!D54)/3</f>
        <v>0</v>
      </c>
      <c r="E54" s="63"/>
      <c r="F54" s="83"/>
      <c r="G54" s="64"/>
      <c r="H54" s="85"/>
      <c r="I54" s="64"/>
      <c r="J54" s="85"/>
      <c r="K54" s="134">
        <f t="shared" si="1"/>
        <v>0</v>
      </c>
      <c r="L54" s="130">
        <f t="shared" si="2"/>
        <v>0</v>
      </c>
    </row>
    <row r="55" spans="1:12" hidden="1" outlineLevel="1" x14ac:dyDescent="0.35">
      <c r="A55" s="37" t="s">
        <v>423</v>
      </c>
      <c r="B55" s="74" t="s">
        <v>424</v>
      </c>
      <c r="C55" s="54" t="s">
        <v>903</v>
      </c>
      <c r="D55" s="84">
        <f>('R2023'!D55+'R2022'!D55+'R2021'!D55)/3</f>
        <v>0</v>
      </c>
      <c r="E55" s="63">
        <v>162429</v>
      </c>
      <c r="F55" s="83"/>
      <c r="G55" s="64"/>
      <c r="H55" s="85"/>
      <c r="I55" s="64"/>
      <c r="J55" s="85"/>
      <c r="K55" s="134">
        <f t="shared" si="1"/>
        <v>0</v>
      </c>
      <c r="L55" s="130">
        <f t="shared" si="2"/>
        <v>162429</v>
      </c>
    </row>
    <row r="56" spans="1:12" hidden="1" outlineLevel="1" x14ac:dyDescent="0.35">
      <c r="A56" s="37" t="s">
        <v>425</v>
      </c>
      <c r="B56" s="74" t="s">
        <v>426</v>
      </c>
      <c r="C56" s="54" t="s">
        <v>903</v>
      </c>
      <c r="D56" s="84">
        <f>('R2023'!D56+'R2022'!D56+'R2021'!D56)/3</f>
        <v>0</v>
      </c>
      <c r="E56" s="63"/>
      <c r="F56" s="83">
        <v>4317</v>
      </c>
      <c r="G56" s="64"/>
      <c r="H56" s="85"/>
      <c r="I56" s="64"/>
      <c r="J56" s="85"/>
      <c r="K56" s="134">
        <f t="shared" si="1"/>
        <v>0</v>
      </c>
      <c r="L56" s="130">
        <f t="shared" si="2"/>
        <v>4317</v>
      </c>
    </row>
    <row r="57" spans="1:12" hidden="1" outlineLevel="1" x14ac:dyDescent="0.35">
      <c r="A57" s="37" t="s">
        <v>427</v>
      </c>
      <c r="B57" s="62" t="s">
        <v>428</v>
      </c>
      <c r="C57" s="54" t="s">
        <v>903</v>
      </c>
      <c r="D57" s="84">
        <f>('R2023'!D57+'R2022'!D57+'R2021'!D57)/3</f>
        <v>0</v>
      </c>
      <c r="E57" s="63"/>
      <c r="F57" s="83">
        <v>15812</v>
      </c>
      <c r="G57" s="64"/>
      <c r="H57" s="85"/>
      <c r="I57" s="64"/>
      <c r="J57" s="85"/>
      <c r="K57" s="134">
        <f t="shared" si="1"/>
        <v>0</v>
      </c>
      <c r="L57" s="130">
        <f t="shared" si="2"/>
        <v>15812</v>
      </c>
    </row>
    <row r="58" spans="1:12" hidden="1" outlineLevel="1" x14ac:dyDescent="0.35">
      <c r="A58" s="37" t="s">
        <v>429</v>
      </c>
      <c r="B58" s="62" t="s">
        <v>430</v>
      </c>
      <c r="C58" s="54" t="s">
        <v>903</v>
      </c>
      <c r="D58" s="84">
        <f>('R2023'!D58+'R2022'!D58+'R2021'!D58)/3</f>
        <v>0</v>
      </c>
      <c r="E58" s="63">
        <v>153</v>
      </c>
      <c r="F58" s="83"/>
      <c r="G58" s="64"/>
      <c r="H58" s="85">
        <v>127997</v>
      </c>
      <c r="I58" s="64"/>
      <c r="J58" s="85"/>
      <c r="K58" s="134">
        <f t="shared" si="1"/>
        <v>0</v>
      </c>
      <c r="L58" s="130">
        <f t="shared" si="2"/>
        <v>128150</v>
      </c>
    </row>
    <row r="59" spans="1:12" hidden="1" outlineLevel="1" x14ac:dyDescent="0.35">
      <c r="A59" s="37" t="s">
        <v>431</v>
      </c>
      <c r="B59" s="62" t="s">
        <v>432</v>
      </c>
      <c r="C59" s="54" t="s">
        <v>903</v>
      </c>
      <c r="D59" s="84">
        <f>('R2023'!D59+'R2022'!D59+'R2021'!D59)/3</f>
        <v>0</v>
      </c>
      <c r="E59" s="63"/>
      <c r="F59" s="83"/>
      <c r="G59" s="64"/>
      <c r="H59" s="85"/>
      <c r="I59" s="64"/>
      <c r="J59" s="85"/>
      <c r="K59" s="134">
        <f t="shared" si="1"/>
        <v>0</v>
      </c>
      <c r="L59" s="130">
        <f t="shared" si="2"/>
        <v>0</v>
      </c>
    </row>
    <row r="60" spans="1:12" hidden="1" outlineLevel="1" x14ac:dyDescent="0.35">
      <c r="A60" s="37" t="s">
        <v>433</v>
      </c>
      <c r="B60" s="62" t="s">
        <v>434</v>
      </c>
      <c r="C60" s="54" t="s">
        <v>903</v>
      </c>
      <c r="D60" s="84">
        <f>('R2023'!D60+'R2022'!D60+'R2021'!D60)/3</f>
        <v>0</v>
      </c>
      <c r="E60" s="63"/>
      <c r="F60" s="83"/>
      <c r="G60" s="64"/>
      <c r="H60" s="85"/>
      <c r="I60" s="64"/>
      <c r="J60" s="85"/>
      <c r="K60" s="134">
        <f t="shared" si="1"/>
        <v>0</v>
      </c>
      <c r="L60" s="130">
        <f t="shared" si="2"/>
        <v>0</v>
      </c>
    </row>
    <row r="61" spans="1:12" hidden="1" outlineLevel="1" x14ac:dyDescent="0.35">
      <c r="A61" s="37" t="s">
        <v>435</v>
      </c>
      <c r="B61" s="62" t="s">
        <v>436</v>
      </c>
      <c r="C61" s="54" t="s">
        <v>903</v>
      </c>
      <c r="D61" s="84">
        <f>('R2023'!D61+'R2022'!D61+'R2021'!D61)/3</f>
        <v>0</v>
      </c>
      <c r="E61" s="63"/>
      <c r="F61" s="83"/>
      <c r="G61" s="64"/>
      <c r="H61" s="85"/>
      <c r="I61" s="64"/>
      <c r="J61" s="85"/>
      <c r="K61" s="134">
        <f t="shared" si="1"/>
        <v>0</v>
      </c>
      <c r="L61" s="130">
        <f t="shared" si="2"/>
        <v>0</v>
      </c>
    </row>
    <row r="62" spans="1:12" hidden="1" outlineLevel="1" x14ac:dyDescent="0.35">
      <c r="A62" s="37" t="s">
        <v>437</v>
      </c>
      <c r="B62" s="62" t="s">
        <v>438</v>
      </c>
      <c r="C62" s="54" t="s">
        <v>903</v>
      </c>
      <c r="D62" s="84">
        <f>('R2023'!D62+'R2022'!D62+'R2021'!D62)/3</f>
        <v>0</v>
      </c>
      <c r="E62" s="63"/>
      <c r="F62" s="83"/>
      <c r="G62" s="64"/>
      <c r="H62" s="85"/>
      <c r="I62" s="64"/>
      <c r="J62" s="85"/>
      <c r="K62" s="134">
        <f t="shared" si="1"/>
        <v>0</v>
      </c>
      <c r="L62" s="130">
        <f t="shared" si="2"/>
        <v>0</v>
      </c>
    </row>
    <row r="63" spans="1:12" hidden="1" outlineLevel="1" x14ac:dyDescent="0.35">
      <c r="A63" s="37" t="s">
        <v>439</v>
      </c>
      <c r="B63" s="62" t="s">
        <v>440</v>
      </c>
      <c r="C63" s="54" t="s">
        <v>903</v>
      </c>
      <c r="D63" s="84">
        <f>('R2023'!D63+'R2022'!D63+'R2021'!D63)/3</f>
        <v>0</v>
      </c>
      <c r="E63" s="63"/>
      <c r="F63" s="83"/>
      <c r="G63" s="64"/>
      <c r="H63" s="85"/>
      <c r="I63" s="64"/>
      <c r="J63" s="85"/>
      <c r="K63" s="134">
        <f t="shared" si="1"/>
        <v>0</v>
      </c>
      <c r="L63" s="130">
        <f t="shared" si="2"/>
        <v>0</v>
      </c>
    </row>
    <row r="64" spans="1:12" hidden="1" outlineLevel="1" x14ac:dyDescent="0.35">
      <c r="A64" s="37" t="s">
        <v>441</v>
      </c>
      <c r="B64" s="62" t="s">
        <v>442</v>
      </c>
      <c r="C64" s="54" t="s">
        <v>903</v>
      </c>
      <c r="D64" s="84">
        <f>('R2023'!D64+'R2022'!D64+'R2021'!D64)/3</f>
        <v>0</v>
      </c>
      <c r="E64" s="63"/>
      <c r="F64" s="83"/>
      <c r="G64" s="64">
        <v>26922</v>
      </c>
      <c r="H64" s="85">
        <v>67636</v>
      </c>
      <c r="I64" s="64"/>
      <c r="J64" s="85"/>
      <c r="K64" s="134">
        <f t="shared" si="1"/>
        <v>0</v>
      </c>
      <c r="L64" s="130">
        <f t="shared" si="2"/>
        <v>94558</v>
      </c>
    </row>
    <row r="65" spans="1:12" hidden="1" outlineLevel="1" x14ac:dyDescent="0.35">
      <c r="A65" s="37" t="s">
        <v>464</v>
      </c>
      <c r="B65" s="62" t="s">
        <v>465</v>
      </c>
      <c r="C65" s="54" t="s">
        <v>903</v>
      </c>
      <c r="D65" s="84">
        <f>('R2023'!D65+'R2022'!D65+'R2021'!D65)/3</f>
        <v>0</v>
      </c>
      <c r="E65" s="63"/>
      <c r="F65" s="83"/>
      <c r="G65" s="64">
        <v>296810</v>
      </c>
      <c r="H65" s="85"/>
      <c r="I65" s="64"/>
      <c r="J65" s="85"/>
      <c r="K65" s="134">
        <f t="shared" si="1"/>
        <v>0</v>
      </c>
      <c r="L65" s="130">
        <f t="shared" si="2"/>
        <v>296810</v>
      </c>
    </row>
    <row r="66" spans="1:12" collapsed="1" x14ac:dyDescent="0.35">
      <c r="A66" s="37"/>
      <c r="B66" s="62" t="s">
        <v>914</v>
      </c>
      <c r="C66" s="54"/>
      <c r="D66" s="85">
        <f>SUM(D67:D101)</f>
        <v>1330158</v>
      </c>
      <c r="E66" s="65">
        <f t="shared" ref="E66:H66" si="3">SUM(E67:E101)</f>
        <v>728398</v>
      </c>
      <c r="F66" s="85">
        <f t="shared" si="3"/>
        <v>2391818</v>
      </c>
      <c r="G66" s="65">
        <f t="shared" si="3"/>
        <v>2361284</v>
      </c>
      <c r="H66" s="85">
        <f t="shared" si="3"/>
        <v>2337958</v>
      </c>
      <c r="I66" s="157">
        <f>SUM(I67:I101)</f>
        <v>1252700</v>
      </c>
      <c r="J66" s="85">
        <f>SUM(J67:J101)</f>
        <v>4107323</v>
      </c>
      <c r="K66" s="134">
        <f t="shared" si="1"/>
        <v>5360023</v>
      </c>
      <c r="L66" s="130">
        <f t="shared" si="2"/>
        <v>14509639</v>
      </c>
    </row>
    <row r="67" spans="1:12" hidden="1" outlineLevel="1" x14ac:dyDescent="0.35">
      <c r="A67" s="37" t="s">
        <v>443</v>
      </c>
      <c r="B67" s="62" t="s">
        <v>444</v>
      </c>
      <c r="C67" s="54" t="s">
        <v>914</v>
      </c>
      <c r="D67" s="85">
        <v>4388</v>
      </c>
      <c r="E67" s="63">
        <v>171995</v>
      </c>
      <c r="F67" s="83">
        <v>1850096</v>
      </c>
      <c r="G67" s="162">
        <v>882484</v>
      </c>
      <c r="H67" s="85">
        <v>2118167</v>
      </c>
      <c r="I67" s="64">
        <v>1155608</v>
      </c>
      <c r="J67" s="85"/>
      <c r="K67" s="134">
        <f t="shared" si="1"/>
        <v>1155608</v>
      </c>
      <c r="L67" s="130">
        <f t="shared" si="2"/>
        <v>6182738</v>
      </c>
    </row>
    <row r="68" spans="1:12" ht="15.75" hidden="1" customHeight="1" outlineLevel="1" x14ac:dyDescent="0.35">
      <c r="A68" s="48" t="s">
        <v>445</v>
      </c>
      <c r="B68" s="62" t="s">
        <v>446</v>
      </c>
      <c r="C68" s="54" t="s">
        <v>914</v>
      </c>
      <c r="D68" s="85">
        <v>955851</v>
      </c>
      <c r="E68" s="63"/>
      <c r="F68" s="83"/>
      <c r="G68" s="64"/>
      <c r="H68" s="85"/>
      <c r="I68" s="64"/>
      <c r="J68" s="85"/>
      <c r="K68" s="134">
        <f t="shared" si="1"/>
        <v>0</v>
      </c>
      <c r="L68" s="130">
        <f t="shared" si="2"/>
        <v>955851</v>
      </c>
    </row>
    <row r="69" spans="1:12" ht="15.75" hidden="1" customHeight="1" outlineLevel="1" x14ac:dyDescent="0.35">
      <c r="A69" s="37" t="s">
        <v>447</v>
      </c>
      <c r="B69" s="69" t="s">
        <v>448</v>
      </c>
      <c r="C69" s="54" t="s">
        <v>914</v>
      </c>
      <c r="D69" s="85"/>
      <c r="E69" s="63">
        <v>15733</v>
      </c>
      <c r="F69" s="83">
        <v>12800</v>
      </c>
      <c r="G69" s="64">
        <v>92362</v>
      </c>
      <c r="H69" s="85">
        <v>7291</v>
      </c>
      <c r="I69" s="64">
        <v>1960</v>
      </c>
      <c r="J69" s="85"/>
      <c r="K69" s="134">
        <f t="shared" ref="K69:K136" si="4">I69+J69</f>
        <v>1960</v>
      </c>
      <c r="L69" s="130">
        <f t="shared" ref="L69:L136" si="5">K69+D69+E69+F69+G69+H69</f>
        <v>130146</v>
      </c>
    </row>
    <row r="70" spans="1:12" hidden="1" outlineLevel="1" x14ac:dyDescent="0.35">
      <c r="A70" s="37" t="s">
        <v>449</v>
      </c>
      <c r="B70" s="62" t="s">
        <v>450</v>
      </c>
      <c r="C70" s="54" t="s">
        <v>914</v>
      </c>
      <c r="D70" s="85"/>
      <c r="E70" s="63"/>
      <c r="F70" s="83"/>
      <c r="G70" s="64">
        <v>394000</v>
      </c>
      <c r="H70" s="85"/>
      <c r="I70" s="64"/>
      <c r="J70" s="85"/>
      <c r="K70" s="134">
        <f t="shared" si="4"/>
        <v>0</v>
      </c>
      <c r="L70" s="130">
        <f t="shared" si="5"/>
        <v>394000</v>
      </c>
    </row>
    <row r="71" spans="1:12" hidden="1" outlineLevel="1" x14ac:dyDescent="0.35">
      <c r="A71" s="37" t="s">
        <v>451</v>
      </c>
      <c r="B71" s="62" t="s">
        <v>452</v>
      </c>
      <c r="C71" s="54" t="s">
        <v>914</v>
      </c>
      <c r="D71" s="85">
        <v>6709</v>
      </c>
      <c r="E71" s="63">
        <v>44123</v>
      </c>
      <c r="F71" s="83"/>
      <c r="G71" s="162">
        <v>15100</v>
      </c>
      <c r="H71" s="85"/>
      <c r="I71" s="64"/>
      <c r="J71" s="85"/>
      <c r="K71" s="134">
        <f t="shared" si="4"/>
        <v>0</v>
      </c>
      <c r="L71" s="130">
        <f t="shared" si="5"/>
        <v>65932</v>
      </c>
    </row>
    <row r="72" spans="1:12" hidden="1" outlineLevel="1" x14ac:dyDescent="0.35">
      <c r="A72" s="37" t="s">
        <v>453</v>
      </c>
      <c r="B72" s="62" t="s">
        <v>454</v>
      </c>
      <c r="C72" s="54" t="s">
        <v>914</v>
      </c>
      <c r="D72" s="85"/>
      <c r="E72" s="63">
        <v>27365</v>
      </c>
      <c r="F72" s="83">
        <v>15001</v>
      </c>
      <c r="G72" s="64"/>
      <c r="H72" s="85"/>
      <c r="I72" s="64"/>
      <c r="J72" s="85"/>
      <c r="K72" s="134">
        <f t="shared" si="4"/>
        <v>0</v>
      </c>
      <c r="L72" s="130">
        <f t="shared" si="5"/>
        <v>42366</v>
      </c>
    </row>
    <row r="73" spans="1:12" hidden="1" outlineLevel="1" x14ac:dyDescent="0.35">
      <c r="A73" s="37" t="s">
        <v>915</v>
      </c>
      <c r="B73" s="62" t="s">
        <v>455</v>
      </c>
      <c r="C73" s="54" t="s">
        <v>914</v>
      </c>
      <c r="D73" s="85"/>
      <c r="E73" s="63">
        <v>12904</v>
      </c>
      <c r="F73" s="83"/>
      <c r="G73" s="64">
        <v>9504</v>
      </c>
      <c r="H73" s="85"/>
      <c r="I73" s="64"/>
      <c r="J73" s="85"/>
      <c r="K73" s="134">
        <f t="shared" si="4"/>
        <v>0</v>
      </c>
      <c r="L73" s="130">
        <f t="shared" si="5"/>
        <v>22408</v>
      </c>
    </row>
    <row r="74" spans="1:12" hidden="1" outlineLevel="1" x14ac:dyDescent="0.35">
      <c r="A74" s="37" t="s">
        <v>456</v>
      </c>
      <c r="B74" s="62" t="s">
        <v>457</v>
      </c>
      <c r="C74" s="54" t="s">
        <v>914</v>
      </c>
      <c r="D74" s="85">
        <v>4797</v>
      </c>
      <c r="E74" s="63">
        <v>11338</v>
      </c>
      <c r="F74" s="83"/>
      <c r="G74" s="64"/>
      <c r="H74" s="85"/>
      <c r="I74" s="64"/>
      <c r="J74" s="85"/>
      <c r="K74" s="134">
        <f t="shared" si="4"/>
        <v>0</v>
      </c>
      <c r="L74" s="130">
        <f t="shared" si="5"/>
        <v>16135</v>
      </c>
    </row>
    <row r="75" spans="1:12" hidden="1" outlineLevel="1" x14ac:dyDescent="0.35">
      <c r="A75" s="37"/>
      <c r="B75" s="117" t="s">
        <v>1302</v>
      </c>
      <c r="C75" s="118"/>
      <c r="D75" s="119"/>
      <c r="E75" s="119"/>
      <c r="F75" s="119">
        <v>-456582</v>
      </c>
      <c r="G75" s="119">
        <v>-275093</v>
      </c>
      <c r="H75" s="119">
        <v>-182305</v>
      </c>
      <c r="I75" s="120"/>
      <c r="J75" s="128">
        <f>-(D75+E75+F75+G75+H75)</f>
        <v>913980</v>
      </c>
      <c r="K75" s="133">
        <f>+J75+I75</f>
        <v>913980</v>
      </c>
      <c r="L75" s="129">
        <f>+K75+H75+G75+F75+E75+D75</f>
        <v>0</v>
      </c>
    </row>
    <row r="76" spans="1:12" hidden="1" outlineLevel="1" x14ac:dyDescent="0.35">
      <c r="A76" s="37"/>
      <c r="B76" s="117" t="s">
        <v>1303</v>
      </c>
      <c r="C76" s="118"/>
      <c r="D76" s="119"/>
      <c r="E76" s="121"/>
      <c r="F76" s="122"/>
      <c r="G76" s="123"/>
      <c r="H76" s="173"/>
      <c r="I76" s="124"/>
      <c r="J76" s="128"/>
      <c r="K76" s="133">
        <f>+J76+I76</f>
        <v>0</v>
      </c>
      <c r="L76" s="129">
        <f>+K76+H76+G76+F76+E76+D76</f>
        <v>0</v>
      </c>
    </row>
    <row r="77" spans="1:12" hidden="1" outlineLevel="1" x14ac:dyDescent="0.35">
      <c r="A77" s="37" t="s">
        <v>458</v>
      </c>
      <c r="B77" s="62" t="s">
        <v>459</v>
      </c>
      <c r="C77" s="54" t="s">
        <v>914</v>
      </c>
      <c r="D77" s="85">
        <v>221110</v>
      </c>
      <c r="E77" s="63">
        <v>545114</v>
      </c>
      <c r="F77" s="83">
        <v>2065463</v>
      </c>
      <c r="G77" s="162">
        <v>1436460</v>
      </c>
      <c r="H77" s="85">
        <v>1133136</v>
      </c>
      <c r="I77" s="64"/>
      <c r="J77" s="85"/>
      <c r="K77" s="134">
        <f t="shared" si="4"/>
        <v>0</v>
      </c>
      <c r="L77" s="130">
        <f>K77+D77+E77+F77+G77+H77</f>
        <v>5401283</v>
      </c>
    </row>
    <row r="78" spans="1:12" hidden="1" outlineLevel="1" x14ac:dyDescent="0.35">
      <c r="A78" s="37" t="s">
        <v>460</v>
      </c>
      <c r="B78" s="62" t="s">
        <v>461</v>
      </c>
      <c r="C78" s="54" t="s">
        <v>914</v>
      </c>
      <c r="D78" s="85"/>
      <c r="E78" s="63"/>
      <c r="F78" s="83"/>
      <c r="G78" s="64"/>
      <c r="H78" s="85"/>
      <c r="I78" s="64"/>
      <c r="J78" s="85"/>
      <c r="K78" s="134">
        <f t="shared" si="4"/>
        <v>0</v>
      </c>
      <c r="L78" s="130">
        <f t="shared" si="5"/>
        <v>0</v>
      </c>
    </row>
    <row r="79" spans="1:12" hidden="1" outlineLevel="1" x14ac:dyDescent="0.35">
      <c r="A79" s="37" t="s">
        <v>462</v>
      </c>
      <c r="B79" s="62" t="s">
        <v>916</v>
      </c>
      <c r="C79" s="54" t="s">
        <v>914</v>
      </c>
      <c r="D79" s="85"/>
      <c r="E79" s="75"/>
      <c r="F79" s="83"/>
      <c r="G79" s="64"/>
      <c r="H79" s="85"/>
      <c r="I79" s="64"/>
      <c r="J79" s="85"/>
      <c r="K79" s="134">
        <f t="shared" si="4"/>
        <v>0</v>
      </c>
      <c r="L79" s="130">
        <f>K79+D79+E79+F79+G79+H79</f>
        <v>0</v>
      </c>
    </row>
    <row r="80" spans="1:12" hidden="1" outlineLevel="1" x14ac:dyDescent="0.35">
      <c r="A80" s="37"/>
      <c r="B80" s="117" t="s">
        <v>1295</v>
      </c>
      <c r="C80" s="118"/>
      <c r="D80" s="119">
        <v>-221110</v>
      </c>
      <c r="E80" s="119">
        <v>-545114</v>
      </c>
      <c r="F80" s="119">
        <v>-2065463</v>
      </c>
      <c r="G80" s="119">
        <v>-1045187</v>
      </c>
      <c r="H80" s="119">
        <v>-1133136</v>
      </c>
      <c r="I80" s="120"/>
      <c r="J80" s="128">
        <f>-(H80+G80+F80+E80+D80)</f>
        <v>5010010</v>
      </c>
      <c r="K80" s="133">
        <f>+J80+I80</f>
        <v>5010010</v>
      </c>
      <c r="L80" s="129">
        <f>+K80+H80+G80+F80+E80+D80</f>
        <v>0</v>
      </c>
    </row>
    <row r="81" spans="1:12" hidden="1" outlineLevel="1" x14ac:dyDescent="0.35">
      <c r="A81" s="37"/>
      <c r="B81" s="117" t="s">
        <v>1304</v>
      </c>
      <c r="C81" s="118"/>
      <c r="D81" s="119">
        <v>92151</v>
      </c>
      <c r="E81" s="121">
        <v>202737</v>
      </c>
      <c r="F81" s="122">
        <v>778160</v>
      </c>
      <c r="G81" s="123">
        <v>348815</v>
      </c>
      <c r="H81" s="119">
        <v>394805</v>
      </c>
      <c r="I81" s="124"/>
      <c r="J81" s="128">
        <v>-1816667</v>
      </c>
      <c r="K81" s="133"/>
      <c r="L81" s="129">
        <f>+K81+H81+G81+F81+E81+D81</f>
        <v>1816668</v>
      </c>
    </row>
    <row r="82" spans="1:12" hidden="1" outlineLevel="1" x14ac:dyDescent="0.35">
      <c r="A82" s="37" t="s">
        <v>466</v>
      </c>
      <c r="B82" s="62" t="s">
        <v>467</v>
      </c>
      <c r="C82" s="54" t="s">
        <v>914</v>
      </c>
      <c r="D82" s="85"/>
      <c r="E82" s="63">
        <v>41235</v>
      </c>
      <c r="F82" s="83"/>
      <c r="G82" s="64">
        <v>14267</v>
      </c>
      <c r="H82" s="85"/>
      <c r="I82" s="64"/>
      <c r="J82" s="85"/>
      <c r="K82" s="134">
        <f t="shared" si="4"/>
        <v>0</v>
      </c>
      <c r="L82" s="130">
        <f t="shared" si="5"/>
        <v>55502</v>
      </c>
    </row>
    <row r="83" spans="1:12" hidden="1" outlineLevel="1" x14ac:dyDescent="0.35">
      <c r="A83" s="37" t="s">
        <v>468</v>
      </c>
      <c r="B83" s="62" t="s">
        <v>469</v>
      </c>
      <c r="C83" s="54" t="s">
        <v>914</v>
      </c>
      <c r="D83" s="85">
        <v>5444</v>
      </c>
      <c r="E83" s="63"/>
      <c r="F83" s="83"/>
      <c r="G83" s="64">
        <v>1117</v>
      </c>
      <c r="H83" s="85"/>
      <c r="I83" s="64"/>
      <c r="J83" s="85"/>
      <c r="K83" s="134">
        <f t="shared" si="4"/>
        <v>0</v>
      </c>
      <c r="L83" s="130">
        <f t="shared" si="5"/>
        <v>6561</v>
      </c>
    </row>
    <row r="84" spans="1:12" hidden="1" outlineLevel="1" x14ac:dyDescent="0.35">
      <c r="A84" s="37" t="s">
        <v>470</v>
      </c>
      <c r="B84" s="62" t="s">
        <v>471</v>
      </c>
      <c r="C84" s="54" t="s">
        <v>914</v>
      </c>
      <c r="D84" s="85"/>
      <c r="E84" s="63"/>
      <c r="F84" s="83"/>
      <c r="G84" s="64">
        <v>533</v>
      </c>
      <c r="H84" s="85"/>
      <c r="I84" s="64"/>
      <c r="J84" s="85"/>
      <c r="K84" s="134">
        <f t="shared" si="4"/>
        <v>0</v>
      </c>
      <c r="L84" s="130">
        <f t="shared" si="5"/>
        <v>533</v>
      </c>
    </row>
    <row r="85" spans="1:12" hidden="1" outlineLevel="1" x14ac:dyDescent="0.35">
      <c r="A85" s="37" t="s">
        <v>472</v>
      </c>
      <c r="B85" s="62" t="s">
        <v>473</v>
      </c>
      <c r="C85" s="54" t="s">
        <v>914</v>
      </c>
      <c r="D85" s="85"/>
      <c r="E85" s="63"/>
      <c r="F85" s="83"/>
      <c r="G85" s="64"/>
      <c r="H85" s="85"/>
      <c r="I85" s="64"/>
      <c r="J85" s="85"/>
      <c r="K85" s="134">
        <f t="shared" si="4"/>
        <v>0</v>
      </c>
      <c r="L85" s="130">
        <f t="shared" si="5"/>
        <v>0</v>
      </c>
    </row>
    <row r="86" spans="1:12" hidden="1" outlineLevel="1" x14ac:dyDescent="0.35">
      <c r="A86" s="37" t="s">
        <v>474</v>
      </c>
      <c r="B86" s="62" t="s">
        <v>475</v>
      </c>
      <c r="C86" s="54" t="s">
        <v>914</v>
      </c>
      <c r="D86" s="85"/>
      <c r="E86" s="63">
        <v>45833</v>
      </c>
      <c r="F86" s="83"/>
      <c r="G86" s="64"/>
      <c r="H86" s="85"/>
      <c r="I86" s="64"/>
      <c r="J86" s="85"/>
      <c r="K86" s="134">
        <f t="shared" si="4"/>
        <v>0</v>
      </c>
      <c r="L86" s="130">
        <f t="shared" si="5"/>
        <v>45833</v>
      </c>
    </row>
    <row r="87" spans="1:12" hidden="1" outlineLevel="1" x14ac:dyDescent="0.35">
      <c r="A87" s="37" t="s">
        <v>476</v>
      </c>
      <c r="B87" s="62" t="s">
        <v>477</v>
      </c>
      <c r="C87" s="54" t="s">
        <v>914</v>
      </c>
      <c r="D87" s="85"/>
      <c r="E87" s="63"/>
      <c r="F87" s="83"/>
      <c r="G87" s="64"/>
      <c r="H87" s="85"/>
      <c r="I87" s="64"/>
      <c r="J87" s="85"/>
      <c r="K87" s="134">
        <f t="shared" si="4"/>
        <v>0</v>
      </c>
      <c r="L87" s="130">
        <f t="shared" si="5"/>
        <v>0</v>
      </c>
    </row>
    <row r="88" spans="1:12" hidden="1" outlineLevel="1" x14ac:dyDescent="0.35">
      <c r="A88" s="37" t="s">
        <v>478</v>
      </c>
      <c r="B88" s="62" t="s">
        <v>479</v>
      </c>
      <c r="C88" s="54" t="s">
        <v>914</v>
      </c>
      <c r="D88" s="85">
        <v>236928</v>
      </c>
      <c r="E88" s="63">
        <v>103341</v>
      </c>
      <c r="F88" s="83"/>
      <c r="G88" s="162">
        <v>390655</v>
      </c>
      <c r="H88" s="85"/>
      <c r="I88" s="64">
        <v>95132</v>
      </c>
      <c r="J88" s="85"/>
      <c r="K88" s="134">
        <f t="shared" si="4"/>
        <v>95132</v>
      </c>
      <c r="L88" s="130">
        <f t="shared" si="5"/>
        <v>826056</v>
      </c>
    </row>
    <row r="89" spans="1:12" hidden="1" outlineLevel="1" x14ac:dyDescent="0.35">
      <c r="A89" s="37" t="s">
        <v>480</v>
      </c>
      <c r="B89" s="62" t="s">
        <v>481</v>
      </c>
      <c r="C89" s="54" t="s">
        <v>914</v>
      </c>
      <c r="D89" s="85"/>
      <c r="E89" s="63"/>
      <c r="F89" s="83"/>
      <c r="G89" s="64"/>
      <c r="H89" s="85"/>
      <c r="I89" s="64"/>
      <c r="J89" s="85"/>
      <c r="K89" s="134">
        <f t="shared" si="4"/>
        <v>0</v>
      </c>
      <c r="L89" s="130">
        <f t="shared" si="5"/>
        <v>0</v>
      </c>
    </row>
    <row r="90" spans="1:12" hidden="1" outlineLevel="1" x14ac:dyDescent="0.35">
      <c r="A90" s="37" t="s">
        <v>482</v>
      </c>
      <c r="B90" s="62" t="s">
        <v>483</v>
      </c>
      <c r="C90" s="54" t="s">
        <v>914</v>
      </c>
      <c r="D90" s="85"/>
      <c r="E90" s="63"/>
      <c r="F90" s="83"/>
      <c r="G90" s="64">
        <v>2333</v>
      </c>
      <c r="H90" s="85"/>
      <c r="I90" s="64"/>
      <c r="J90" s="85"/>
      <c r="K90" s="134">
        <f t="shared" si="4"/>
        <v>0</v>
      </c>
      <c r="L90" s="130">
        <f t="shared" si="5"/>
        <v>2333</v>
      </c>
    </row>
    <row r="91" spans="1:12" hidden="1" outlineLevel="1" x14ac:dyDescent="0.35">
      <c r="A91" s="37" t="s">
        <v>484</v>
      </c>
      <c r="B91" s="62" t="s">
        <v>485</v>
      </c>
      <c r="C91" s="54" t="s">
        <v>914</v>
      </c>
      <c r="D91" s="85"/>
      <c r="E91" s="63"/>
      <c r="F91" s="83"/>
      <c r="G91" s="64">
        <v>667</v>
      </c>
      <c r="H91" s="85"/>
      <c r="I91" s="64"/>
      <c r="J91" s="85"/>
      <c r="K91" s="134">
        <f t="shared" si="4"/>
        <v>0</v>
      </c>
      <c r="L91" s="130">
        <f t="shared" si="5"/>
        <v>667</v>
      </c>
    </row>
    <row r="92" spans="1:12" hidden="1" outlineLevel="1" x14ac:dyDescent="0.35">
      <c r="A92" s="37" t="s">
        <v>486</v>
      </c>
      <c r="B92" s="62" t="s">
        <v>487</v>
      </c>
      <c r="C92" s="54" t="s">
        <v>914</v>
      </c>
      <c r="D92" s="85"/>
      <c r="E92" s="63"/>
      <c r="F92" s="83"/>
      <c r="G92" s="64"/>
      <c r="H92" s="85"/>
      <c r="I92" s="64"/>
      <c r="J92" s="85"/>
      <c r="K92" s="134">
        <f t="shared" si="4"/>
        <v>0</v>
      </c>
      <c r="L92" s="130">
        <f t="shared" si="5"/>
        <v>0</v>
      </c>
    </row>
    <row r="93" spans="1:12" hidden="1" outlineLevel="1" x14ac:dyDescent="0.35">
      <c r="A93" s="37" t="s">
        <v>488</v>
      </c>
      <c r="B93" s="62" t="s">
        <v>489</v>
      </c>
      <c r="C93" s="54" t="s">
        <v>914</v>
      </c>
      <c r="D93" s="85"/>
      <c r="E93" s="63"/>
      <c r="F93" s="83"/>
      <c r="G93" s="64"/>
      <c r="H93" s="85"/>
      <c r="I93" s="64"/>
      <c r="J93" s="85"/>
      <c r="K93" s="134">
        <f t="shared" si="4"/>
        <v>0</v>
      </c>
      <c r="L93" s="130">
        <f t="shared" si="5"/>
        <v>0</v>
      </c>
    </row>
    <row r="94" spans="1:12" hidden="1" outlineLevel="1" x14ac:dyDescent="0.35">
      <c r="A94" s="37" t="s">
        <v>490</v>
      </c>
      <c r="B94" s="62" t="s">
        <v>491</v>
      </c>
      <c r="C94" s="54" t="s">
        <v>914</v>
      </c>
      <c r="D94" s="85"/>
      <c r="E94" s="63"/>
      <c r="F94" s="83"/>
      <c r="G94" s="64">
        <v>285</v>
      </c>
      <c r="H94" s="85"/>
      <c r="I94" s="64"/>
      <c r="J94" s="85"/>
      <c r="K94" s="134">
        <f t="shared" si="4"/>
        <v>0</v>
      </c>
      <c r="L94" s="130">
        <f t="shared" si="5"/>
        <v>285</v>
      </c>
    </row>
    <row r="95" spans="1:12" hidden="1" outlineLevel="1" x14ac:dyDescent="0.35">
      <c r="A95" s="37" t="s">
        <v>492</v>
      </c>
      <c r="B95" s="62" t="s">
        <v>493</v>
      </c>
      <c r="C95" s="54" t="s">
        <v>914</v>
      </c>
      <c r="D95" s="85"/>
      <c r="E95" s="63"/>
      <c r="F95" s="83"/>
      <c r="G95" s="64"/>
      <c r="H95" s="85"/>
      <c r="I95" s="64"/>
      <c r="J95" s="85"/>
      <c r="K95" s="134">
        <f t="shared" si="4"/>
        <v>0</v>
      </c>
      <c r="L95" s="130">
        <f t="shared" si="5"/>
        <v>0</v>
      </c>
    </row>
    <row r="96" spans="1:12" hidden="1" outlineLevel="1" x14ac:dyDescent="0.35">
      <c r="A96" s="37" t="s">
        <v>917</v>
      </c>
      <c r="B96" s="62" t="s">
        <v>918</v>
      </c>
      <c r="C96" s="54" t="s">
        <v>914</v>
      </c>
      <c r="D96" s="85"/>
      <c r="E96" s="63"/>
      <c r="F96" s="83"/>
      <c r="G96" s="64"/>
      <c r="H96" s="85"/>
      <c r="I96" s="64"/>
      <c r="J96" s="85"/>
      <c r="K96" s="134">
        <f t="shared" si="4"/>
        <v>0</v>
      </c>
      <c r="L96" s="130">
        <f t="shared" si="5"/>
        <v>0</v>
      </c>
    </row>
    <row r="97" spans="1:12" hidden="1" outlineLevel="1" x14ac:dyDescent="0.35">
      <c r="A97" s="37" t="s">
        <v>494</v>
      </c>
      <c r="B97" s="62" t="s">
        <v>495</v>
      </c>
      <c r="C97" s="54" t="s">
        <v>914</v>
      </c>
      <c r="D97" s="85">
        <v>23890</v>
      </c>
      <c r="E97" s="63">
        <v>19910</v>
      </c>
      <c r="F97" s="83">
        <v>192343</v>
      </c>
      <c r="G97" s="64">
        <v>92982</v>
      </c>
      <c r="H97" s="85"/>
      <c r="I97" s="64"/>
      <c r="J97" s="85"/>
      <c r="K97" s="134">
        <f t="shared" si="4"/>
        <v>0</v>
      </c>
      <c r="L97" s="130">
        <f t="shared" si="5"/>
        <v>329125</v>
      </c>
    </row>
    <row r="98" spans="1:12" hidden="1" outlineLevel="1" x14ac:dyDescent="0.35">
      <c r="A98" s="37" t="s">
        <v>496</v>
      </c>
      <c r="B98" s="62" t="s">
        <v>497</v>
      </c>
      <c r="C98" s="54" t="s">
        <v>914</v>
      </c>
      <c r="D98" s="85"/>
      <c r="E98" s="63"/>
      <c r="F98" s="83"/>
      <c r="G98" s="64"/>
      <c r="H98" s="85"/>
      <c r="I98" s="64"/>
      <c r="J98" s="85"/>
      <c r="K98" s="134">
        <f t="shared" si="4"/>
        <v>0</v>
      </c>
      <c r="L98" s="130">
        <f t="shared" si="5"/>
        <v>0</v>
      </c>
    </row>
    <row r="99" spans="1:12" hidden="1" outlineLevel="1" x14ac:dyDescent="0.35">
      <c r="A99" s="37" t="s">
        <v>498</v>
      </c>
      <c r="B99" s="62" t="s">
        <v>499</v>
      </c>
      <c r="C99" s="54" t="s">
        <v>914</v>
      </c>
      <c r="D99" s="85"/>
      <c r="E99" s="63">
        <v>31884</v>
      </c>
      <c r="F99" s="83"/>
      <c r="G99" s="64"/>
      <c r="H99" s="85"/>
      <c r="I99" s="64"/>
      <c r="J99" s="85"/>
      <c r="K99" s="134">
        <f t="shared" si="4"/>
        <v>0</v>
      </c>
      <c r="L99" s="130">
        <f t="shared" si="5"/>
        <v>31884</v>
      </c>
    </row>
    <row r="100" spans="1:12" hidden="1" outlineLevel="1" x14ac:dyDescent="0.35">
      <c r="A100" s="37" t="s">
        <v>500</v>
      </c>
      <c r="B100" s="62" t="s">
        <v>501</v>
      </c>
      <c r="C100" s="54" t="s">
        <v>914</v>
      </c>
      <c r="D100" s="85"/>
      <c r="E100" s="63"/>
      <c r="F100" s="83"/>
      <c r="G100" s="64"/>
      <c r="H100" s="85"/>
      <c r="I100" s="64"/>
      <c r="J100" s="85"/>
      <c r="K100" s="134">
        <f t="shared" si="4"/>
        <v>0</v>
      </c>
      <c r="L100" s="130">
        <f t="shared" si="5"/>
        <v>0</v>
      </c>
    </row>
    <row r="101" spans="1:12" hidden="1" outlineLevel="1" x14ac:dyDescent="0.35">
      <c r="A101" s="37" t="s">
        <v>502</v>
      </c>
      <c r="B101" s="62" t="s">
        <v>503</v>
      </c>
      <c r="C101" s="54" t="s">
        <v>914</v>
      </c>
      <c r="D101" s="85"/>
      <c r="E101" s="63"/>
      <c r="F101" s="83"/>
      <c r="G101" s="64"/>
      <c r="H101" s="85"/>
      <c r="I101" s="64"/>
      <c r="J101" s="85"/>
      <c r="K101" s="134">
        <f t="shared" si="4"/>
        <v>0</v>
      </c>
      <c r="L101" s="130">
        <f t="shared" si="5"/>
        <v>0</v>
      </c>
    </row>
    <row r="102" spans="1:12" s="12" customFormat="1" x14ac:dyDescent="0.35">
      <c r="A102" s="52"/>
      <c r="B102" s="72" t="s">
        <v>1289</v>
      </c>
      <c r="C102" s="53"/>
      <c r="D102" s="88">
        <f>D4+D66</f>
        <v>1405960.3333333333</v>
      </c>
      <c r="E102" s="76">
        <f t="shared" ref="E102:H102" si="6">E4+E66</f>
        <v>1090517</v>
      </c>
      <c r="F102" s="88">
        <f t="shared" si="6"/>
        <v>3288571</v>
      </c>
      <c r="G102" s="76">
        <f t="shared" si="6"/>
        <v>3453202</v>
      </c>
      <c r="H102" s="88">
        <f t="shared" si="6"/>
        <v>3232704</v>
      </c>
      <c r="I102" s="158">
        <f>I4+I66</f>
        <v>1476888</v>
      </c>
      <c r="J102" s="88"/>
      <c r="K102" s="137">
        <f>K4+K66</f>
        <v>5584211</v>
      </c>
      <c r="L102" s="138">
        <f t="shared" si="5"/>
        <v>18055165.333333332</v>
      </c>
    </row>
    <row r="103" spans="1:12" collapsed="1" x14ac:dyDescent="0.35">
      <c r="A103" s="37"/>
      <c r="B103" s="69" t="s">
        <v>920</v>
      </c>
      <c r="C103" s="54"/>
      <c r="D103" s="85">
        <f>SUM(D104:D147)</f>
        <v>50992</v>
      </c>
      <c r="E103" s="65">
        <f t="shared" ref="E103:G103" si="7">SUM(E104:E147)</f>
        <v>254944</v>
      </c>
      <c r="F103" s="85">
        <f t="shared" si="7"/>
        <v>733769</v>
      </c>
      <c r="G103" s="65">
        <f t="shared" si="7"/>
        <v>360794</v>
      </c>
      <c r="H103" s="85">
        <f>SUM(H104:H147)</f>
        <v>458236</v>
      </c>
      <c r="I103" s="157">
        <f>SUM(I104:I147)</f>
        <v>521166</v>
      </c>
      <c r="J103" s="85"/>
      <c r="K103" s="134">
        <f t="shared" si="4"/>
        <v>521166</v>
      </c>
      <c r="L103" s="130">
        <f t="shared" si="5"/>
        <v>2379901</v>
      </c>
    </row>
    <row r="104" spans="1:12" hidden="1" outlineLevel="1" x14ac:dyDescent="0.35">
      <c r="A104" s="37" t="s">
        <v>504</v>
      </c>
      <c r="B104" s="62" t="s">
        <v>505</v>
      </c>
      <c r="C104" s="54" t="s">
        <v>920</v>
      </c>
      <c r="D104" s="85"/>
      <c r="E104" s="63">
        <v>23946</v>
      </c>
      <c r="F104" s="83">
        <v>16607</v>
      </c>
      <c r="G104" s="162">
        <v>5635</v>
      </c>
      <c r="H104" s="85"/>
      <c r="I104" s="64"/>
      <c r="J104" s="85"/>
      <c r="K104" s="134">
        <f t="shared" si="4"/>
        <v>0</v>
      </c>
      <c r="L104" s="130">
        <f t="shared" si="5"/>
        <v>46188</v>
      </c>
    </row>
    <row r="105" spans="1:12" hidden="1" outlineLevel="1" x14ac:dyDescent="0.35">
      <c r="A105" s="37" t="s">
        <v>506</v>
      </c>
      <c r="B105" s="69" t="s">
        <v>921</v>
      </c>
      <c r="C105" s="54" t="s">
        <v>920</v>
      </c>
      <c r="D105" s="85"/>
      <c r="E105" s="63"/>
      <c r="F105" s="83"/>
      <c r="G105" s="64">
        <v>190</v>
      </c>
      <c r="H105" s="85"/>
      <c r="I105" s="64"/>
      <c r="J105" s="85"/>
      <c r="K105" s="134">
        <f t="shared" si="4"/>
        <v>0</v>
      </c>
      <c r="L105" s="130">
        <f t="shared" si="5"/>
        <v>190</v>
      </c>
    </row>
    <row r="106" spans="1:12" hidden="1" outlineLevel="1" x14ac:dyDescent="0.35">
      <c r="A106" s="37" t="s">
        <v>508</v>
      </c>
      <c r="B106" s="62" t="s">
        <v>335</v>
      </c>
      <c r="C106" s="54" t="s">
        <v>920</v>
      </c>
      <c r="D106" s="85"/>
      <c r="E106" s="63"/>
      <c r="F106" s="83"/>
      <c r="G106" s="64"/>
      <c r="H106" s="85"/>
      <c r="I106" s="64"/>
      <c r="J106" s="85"/>
      <c r="K106" s="134">
        <f t="shared" si="4"/>
        <v>0</v>
      </c>
      <c r="L106" s="130">
        <f t="shared" si="5"/>
        <v>0</v>
      </c>
    </row>
    <row r="107" spans="1:12" hidden="1" outlineLevel="1" x14ac:dyDescent="0.35">
      <c r="A107" s="37" t="s">
        <v>509</v>
      </c>
      <c r="B107" s="62" t="s">
        <v>337</v>
      </c>
      <c r="C107" s="54" t="s">
        <v>920</v>
      </c>
      <c r="D107" s="85"/>
      <c r="E107" s="63"/>
      <c r="F107" s="83"/>
      <c r="G107" s="64"/>
      <c r="H107" s="85"/>
      <c r="I107" s="64"/>
      <c r="J107" s="85"/>
      <c r="K107" s="134">
        <f t="shared" si="4"/>
        <v>0</v>
      </c>
      <c r="L107" s="130">
        <f t="shared" si="5"/>
        <v>0</v>
      </c>
    </row>
    <row r="108" spans="1:12" hidden="1" outlineLevel="1" x14ac:dyDescent="0.35">
      <c r="A108" s="37" t="s">
        <v>510</v>
      </c>
      <c r="B108" s="62" t="s">
        <v>341</v>
      </c>
      <c r="C108" s="54" t="s">
        <v>920</v>
      </c>
      <c r="D108" s="85"/>
      <c r="E108" s="63"/>
      <c r="F108" s="83"/>
      <c r="G108" s="64"/>
      <c r="H108" s="85"/>
      <c r="I108" s="64"/>
      <c r="J108" s="85"/>
      <c r="K108" s="134">
        <f t="shared" si="4"/>
        <v>0</v>
      </c>
      <c r="L108" s="130">
        <f t="shared" si="5"/>
        <v>0</v>
      </c>
    </row>
    <row r="109" spans="1:12" hidden="1" outlineLevel="1" x14ac:dyDescent="0.35">
      <c r="A109" s="37" t="s">
        <v>511</v>
      </c>
      <c r="B109" s="62" t="s">
        <v>345</v>
      </c>
      <c r="C109" s="54" t="s">
        <v>920</v>
      </c>
      <c r="D109" s="85"/>
      <c r="E109" s="63"/>
      <c r="F109" s="83"/>
      <c r="G109" s="64"/>
      <c r="H109" s="85"/>
      <c r="I109" s="64"/>
      <c r="J109" s="85"/>
      <c r="K109" s="134">
        <f t="shared" si="4"/>
        <v>0</v>
      </c>
      <c r="L109" s="130">
        <f t="shared" si="5"/>
        <v>0</v>
      </c>
    </row>
    <row r="110" spans="1:12" hidden="1" outlineLevel="1" x14ac:dyDescent="0.35">
      <c r="A110" s="37" t="s">
        <v>512</v>
      </c>
      <c r="B110" s="62" t="s">
        <v>347</v>
      </c>
      <c r="C110" s="54" t="s">
        <v>920</v>
      </c>
      <c r="D110" s="85"/>
      <c r="E110" s="63"/>
      <c r="F110" s="83"/>
      <c r="G110" s="64"/>
      <c r="H110" s="85"/>
      <c r="I110" s="64"/>
      <c r="J110" s="85"/>
      <c r="K110" s="134">
        <f t="shared" si="4"/>
        <v>0</v>
      </c>
      <c r="L110" s="130">
        <f t="shared" si="5"/>
        <v>0</v>
      </c>
    </row>
    <row r="111" spans="1:12" hidden="1" outlineLevel="1" x14ac:dyDescent="0.35">
      <c r="A111" s="37" t="s">
        <v>513</v>
      </c>
      <c r="B111" s="62" t="s">
        <v>349</v>
      </c>
      <c r="C111" s="54" t="s">
        <v>920</v>
      </c>
      <c r="D111" s="85"/>
      <c r="E111" s="63"/>
      <c r="F111" s="83"/>
      <c r="G111" s="64"/>
      <c r="H111" s="85"/>
      <c r="I111" s="64"/>
      <c r="J111" s="85"/>
      <c r="K111" s="134">
        <f t="shared" si="4"/>
        <v>0</v>
      </c>
      <c r="L111" s="130">
        <f t="shared" si="5"/>
        <v>0</v>
      </c>
    </row>
    <row r="112" spans="1:12" hidden="1" outlineLevel="1" x14ac:dyDescent="0.35">
      <c r="A112" s="37" t="s">
        <v>514</v>
      </c>
      <c r="B112" s="62" t="s">
        <v>515</v>
      </c>
      <c r="C112" s="54" t="s">
        <v>920</v>
      </c>
      <c r="D112" s="85"/>
      <c r="E112" s="63"/>
      <c r="F112" s="83"/>
      <c r="G112" s="64"/>
      <c r="H112" s="85"/>
      <c r="I112" s="64"/>
      <c r="J112" s="85"/>
      <c r="K112" s="134">
        <f t="shared" si="4"/>
        <v>0</v>
      </c>
      <c r="L112" s="130">
        <f t="shared" si="5"/>
        <v>0</v>
      </c>
    </row>
    <row r="113" spans="1:12" hidden="1" outlineLevel="1" x14ac:dyDescent="0.35">
      <c r="A113" s="37" t="s">
        <v>516</v>
      </c>
      <c r="B113" s="62" t="s">
        <v>517</v>
      </c>
      <c r="C113" s="54" t="s">
        <v>920</v>
      </c>
      <c r="D113" s="85"/>
      <c r="E113" s="63"/>
      <c r="F113" s="83"/>
      <c r="G113" s="64"/>
      <c r="H113" s="85"/>
      <c r="I113" s="64"/>
      <c r="J113" s="85"/>
      <c r="K113" s="134">
        <f t="shared" si="4"/>
        <v>0</v>
      </c>
      <c r="L113" s="130">
        <f t="shared" si="5"/>
        <v>0</v>
      </c>
    </row>
    <row r="114" spans="1:12" hidden="1" outlineLevel="1" x14ac:dyDescent="0.35">
      <c r="A114" s="37" t="s">
        <v>518</v>
      </c>
      <c r="B114" s="62" t="s">
        <v>519</v>
      </c>
      <c r="C114" s="54" t="s">
        <v>920</v>
      </c>
      <c r="D114" s="85">
        <v>10645</v>
      </c>
      <c r="E114" s="75">
        <v>2312</v>
      </c>
      <c r="F114" s="85">
        <v>85592</v>
      </c>
      <c r="G114" s="162">
        <v>10670</v>
      </c>
      <c r="H114" s="85">
        <v>182680</v>
      </c>
      <c r="I114" s="64"/>
      <c r="J114" s="85"/>
      <c r="K114" s="134">
        <f t="shared" si="4"/>
        <v>0</v>
      </c>
      <c r="L114" s="130">
        <f t="shared" si="5"/>
        <v>291899</v>
      </c>
    </row>
    <row r="115" spans="1:12" hidden="1" outlineLevel="1" x14ac:dyDescent="0.35">
      <c r="A115" s="37" t="s">
        <v>520</v>
      </c>
      <c r="B115" s="62" t="s">
        <v>521</v>
      </c>
      <c r="C115" s="54" t="s">
        <v>920</v>
      </c>
      <c r="D115" s="85"/>
      <c r="E115" s="63"/>
      <c r="F115" s="83"/>
      <c r="G115" s="64"/>
      <c r="H115" s="85"/>
      <c r="I115" s="64"/>
      <c r="J115" s="85"/>
      <c r="K115" s="134">
        <f t="shared" si="4"/>
        <v>0</v>
      </c>
      <c r="L115" s="130">
        <f t="shared" si="5"/>
        <v>0</v>
      </c>
    </row>
    <row r="116" spans="1:12" hidden="1" outlineLevel="1" x14ac:dyDescent="0.35">
      <c r="A116" s="37" t="s">
        <v>522</v>
      </c>
      <c r="B116" s="62" t="s">
        <v>365</v>
      </c>
      <c r="C116" s="54" t="s">
        <v>920</v>
      </c>
      <c r="D116" s="85"/>
      <c r="E116" s="63"/>
      <c r="F116" s="83">
        <v>85383</v>
      </c>
      <c r="G116" s="162">
        <v>3294</v>
      </c>
      <c r="H116" s="85"/>
      <c r="I116" s="64"/>
      <c r="J116" s="85"/>
      <c r="K116" s="134">
        <f t="shared" si="4"/>
        <v>0</v>
      </c>
      <c r="L116" s="130">
        <f t="shared" si="5"/>
        <v>88677</v>
      </c>
    </row>
    <row r="117" spans="1:12" hidden="1" outlineLevel="1" x14ac:dyDescent="0.35">
      <c r="A117" s="37" t="s">
        <v>523</v>
      </c>
      <c r="B117" s="62" t="s">
        <v>524</v>
      </c>
      <c r="C117" s="54" t="s">
        <v>920</v>
      </c>
      <c r="D117" s="85"/>
      <c r="E117" s="63"/>
      <c r="F117" s="83"/>
      <c r="G117" s="64"/>
      <c r="H117" s="85"/>
      <c r="I117" s="64"/>
      <c r="J117" s="85"/>
      <c r="K117" s="134">
        <f t="shared" si="4"/>
        <v>0</v>
      </c>
      <c r="L117" s="130">
        <f t="shared" si="5"/>
        <v>0</v>
      </c>
    </row>
    <row r="118" spans="1:12" hidden="1" outlineLevel="1" x14ac:dyDescent="0.35">
      <c r="A118" s="37" t="s">
        <v>525</v>
      </c>
      <c r="B118" s="62" t="s">
        <v>526</v>
      </c>
      <c r="C118" s="54" t="s">
        <v>920</v>
      </c>
      <c r="D118" s="85"/>
      <c r="E118" s="63"/>
      <c r="F118" s="83"/>
      <c r="G118" s="64"/>
      <c r="H118" s="85"/>
      <c r="I118" s="64"/>
      <c r="J118" s="85"/>
      <c r="K118" s="134">
        <f t="shared" si="4"/>
        <v>0</v>
      </c>
      <c r="L118" s="130">
        <f t="shared" si="5"/>
        <v>0</v>
      </c>
    </row>
    <row r="119" spans="1:12" hidden="1" outlineLevel="1" x14ac:dyDescent="0.35">
      <c r="A119" s="37" t="s">
        <v>527</v>
      </c>
      <c r="B119" s="62" t="s">
        <v>528</v>
      </c>
      <c r="C119" s="54" t="s">
        <v>920</v>
      </c>
      <c r="D119" s="85"/>
      <c r="E119" s="63"/>
      <c r="F119" s="83"/>
      <c r="G119" s="64"/>
      <c r="H119" s="85"/>
      <c r="I119" s="64"/>
      <c r="J119" s="85"/>
      <c r="K119" s="134">
        <f t="shared" si="4"/>
        <v>0</v>
      </c>
      <c r="L119" s="130">
        <f t="shared" si="5"/>
        <v>0</v>
      </c>
    </row>
    <row r="120" spans="1:12" hidden="1" outlineLevel="1" x14ac:dyDescent="0.35">
      <c r="A120" s="37" t="s">
        <v>529</v>
      </c>
      <c r="B120" s="62" t="s">
        <v>530</v>
      </c>
      <c r="C120" s="54" t="s">
        <v>920</v>
      </c>
      <c r="D120" s="85"/>
      <c r="E120" s="63"/>
      <c r="F120" s="83"/>
      <c r="G120" s="64">
        <v>1</v>
      </c>
      <c r="H120" s="85"/>
      <c r="I120" s="64"/>
      <c r="J120" s="85"/>
      <c r="K120" s="134">
        <f t="shared" si="4"/>
        <v>0</v>
      </c>
      <c r="L120" s="130">
        <f t="shared" si="5"/>
        <v>1</v>
      </c>
    </row>
    <row r="121" spans="1:12" hidden="1" outlineLevel="1" x14ac:dyDescent="0.35">
      <c r="A121" s="37" t="s">
        <v>531</v>
      </c>
      <c r="B121" s="62" t="s">
        <v>532</v>
      </c>
      <c r="C121" s="54" t="s">
        <v>920</v>
      </c>
      <c r="D121" s="85"/>
      <c r="E121" s="63"/>
      <c r="F121" s="83"/>
      <c r="G121" s="64"/>
      <c r="H121" s="85"/>
      <c r="I121" s="64"/>
      <c r="J121" s="85"/>
      <c r="K121" s="134">
        <f t="shared" si="4"/>
        <v>0</v>
      </c>
      <c r="L121" s="130">
        <f t="shared" si="5"/>
        <v>0</v>
      </c>
    </row>
    <row r="122" spans="1:12" hidden="1" outlineLevel="1" x14ac:dyDescent="0.35">
      <c r="A122" s="37" t="s">
        <v>533</v>
      </c>
      <c r="B122" s="62" t="s">
        <v>534</v>
      </c>
      <c r="C122" s="54" t="s">
        <v>920</v>
      </c>
      <c r="D122" s="85"/>
      <c r="E122" s="63"/>
      <c r="F122" s="83"/>
      <c r="G122" s="64">
        <v>482</v>
      </c>
      <c r="H122" s="85"/>
      <c r="I122" s="64"/>
      <c r="J122" s="85"/>
      <c r="K122" s="134">
        <f t="shared" si="4"/>
        <v>0</v>
      </c>
      <c r="L122" s="130">
        <f t="shared" si="5"/>
        <v>482</v>
      </c>
    </row>
    <row r="123" spans="1:12" hidden="1" outlineLevel="1" x14ac:dyDescent="0.35">
      <c r="A123" s="37" t="s">
        <v>535</v>
      </c>
      <c r="B123" s="62" t="s">
        <v>536</v>
      </c>
      <c r="C123" s="54" t="s">
        <v>920</v>
      </c>
      <c r="D123" s="85">
        <v>40347</v>
      </c>
      <c r="E123" s="63">
        <v>63465</v>
      </c>
      <c r="F123" s="83">
        <v>309280</v>
      </c>
      <c r="G123" s="162">
        <v>63993</v>
      </c>
      <c r="H123" s="85"/>
      <c r="I123" s="64">
        <v>86127</v>
      </c>
      <c r="J123" s="85"/>
      <c r="K123" s="134">
        <f t="shared" si="4"/>
        <v>86127</v>
      </c>
      <c r="L123" s="130">
        <f>K123+D123+E123+F123+G123+H123</f>
        <v>563212</v>
      </c>
    </row>
    <row r="124" spans="1:12" hidden="1" outlineLevel="1" x14ac:dyDescent="0.35">
      <c r="A124" s="37" t="s">
        <v>537</v>
      </c>
      <c r="B124" s="62" t="s">
        <v>538</v>
      </c>
      <c r="C124" s="54" t="s">
        <v>920</v>
      </c>
      <c r="D124" s="85"/>
      <c r="E124" s="63">
        <v>97341</v>
      </c>
      <c r="F124" s="83"/>
      <c r="G124" s="64"/>
      <c r="H124" s="85"/>
      <c r="I124" s="64"/>
      <c r="J124" s="85"/>
      <c r="K124" s="134">
        <f t="shared" si="4"/>
        <v>0</v>
      </c>
      <c r="L124" s="130">
        <f t="shared" si="5"/>
        <v>97341</v>
      </c>
    </row>
    <row r="125" spans="1:12" hidden="1" outlineLevel="1" x14ac:dyDescent="0.35">
      <c r="A125" s="37" t="s">
        <v>539</v>
      </c>
      <c r="B125" s="62" t="s">
        <v>540</v>
      </c>
      <c r="C125" s="54" t="s">
        <v>920</v>
      </c>
      <c r="D125" s="85"/>
      <c r="E125" s="63">
        <v>6773</v>
      </c>
      <c r="F125" s="83"/>
      <c r="G125" s="64"/>
      <c r="H125" s="85"/>
      <c r="I125" s="64"/>
      <c r="J125" s="85"/>
      <c r="K125" s="134">
        <f t="shared" si="4"/>
        <v>0</v>
      </c>
      <c r="L125" s="130">
        <f t="shared" si="5"/>
        <v>6773</v>
      </c>
    </row>
    <row r="126" spans="1:12" hidden="1" outlineLevel="1" x14ac:dyDescent="0.35">
      <c r="A126" s="37" t="s">
        <v>541</v>
      </c>
      <c r="B126" s="62" t="s">
        <v>542</v>
      </c>
      <c r="C126" s="54" t="s">
        <v>920</v>
      </c>
      <c r="D126" s="85"/>
      <c r="E126" s="63"/>
      <c r="F126" s="83"/>
      <c r="G126" s="64">
        <v>22</v>
      </c>
      <c r="H126" s="85"/>
      <c r="I126" s="64"/>
      <c r="J126" s="85"/>
      <c r="K126" s="134">
        <f t="shared" si="4"/>
        <v>0</v>
      </c>
      <c r="L126" s="130">
        <f t="shared" si="5"/>
        <v>22</v>
      </c>
    </row>
    <row r="127" spans="1:12" hidden="1" outlineLevel="1" x14ac:dyDescent="0.35">
      <c r="A127" s="37" t="s">
        <v>543</v>
      </c>
      <c r="B127" s="62" t="s">
        <v>544</v>
      </c>
      <c r="C127" s="54" t="s">
        <v>920</v>
      </c>
      <c r="D127" s="85"/>
      <c r="E127" s="63"/>
      <c r="F127" s="83">
        <v>180489</v>
      </c>
      <c r="G127" s="162">
        <v>152430</v>
      </c>
      <c r="H127" s="85">
        <v>329791</v>
      </c>
      <c r="I127" s="64">
        <v>420304</v>
      </c>
      <c r="J127" s="85"/>
      <c r="K127" s="134">
        <f t="shared" si="4"/>
        <v>420304</v>
      </c>
      <c r="L127" s="130">
        <f t="shared" si="5"/>
        <v>1083014</v>
      </c>
    </row>
    <row r="128" spans="1:12" hidden="1" outlineLevel="1" x14ac:dyDescent="0.35">
      <c r="A128" s="37" t="s">
        <v>545</v>
      </c>
      <c r="B128" s="77" t="s">
        <v>546</v>
      </c>
      <c r="C128" s="54" t="s">
        <v>920</v>
      </c>
      <c r="D128" s="85"/>
      <c r="E128" s="63">
        <v>12633</v>
      </c>
      <c r="F128" s="83">
        <v>56418</v>
      </c>
      <c r="G128" s="64"/>
      <c r="H128" s="85"/>
      <c r="I128" s="64"/>
      <c r="J128" s="85"/>
      <c r="K128" s="134">
        <f t="shared" si="4"/>
        <v>0</v>
      </c>
      <c r="L128" s="130">
        <f t="shared" si="5"/>
        <v>69051</v>
      </c>
    </row>
    <row r="129" spans="1:12" hidden="1" outlineLevel="1" x14ac:dyDescent="0.35">
      <c r="A129" s="37" t="s">
        <v>547</v>
      </c>
      <c r="B129" s="77" t="s">
        <v>548</v>
      </c>
      <c r="C129" s="54" t="s">
        <v>920</v>
      </c>
      <c r="D129" s="85"/>
      <c r="E129" s="63">
        <v>18613</v>
      </c>
      <c r="F129" s="83"/>
      <c r="G129" s="64"/>
      <c r="H129" s="85"/>
      <c r="I129" s="64">
        <v>13873</v>
      </c>
      <c r="J129" s="85"/>
      <c r="K129" s="134">
        <f t="shared" si="4"/>
        <v>13873</v>
      </c>
      <c r="L129" s="130">
        <f t="shared" si="5"/>
        <v>32486</v>
      </c>
    </row>
    <row r="130" spans="1:12" hidden="1" outlineLevel="1" x14ac:dyDescent="0.35">
      <c r="A130" s="37" t="s">
        <v>549</v>
      </c>
      <c r="B130" s="62" t="s">
        <v>550</v>
      </c>
      <c r="C130" s="54" t="s">
        <v>920</v>
      </c>
      <c r="D130" s="85"/>
      <c r="E130" s="63">
        <v>20066</v>
      </c>
      <c r="F130" s="83"/>
      <c r="G130" s="162">
        <v>108457</v>
      </c>
      <c r="H130" s="85"/>
      <c r="I130" s="64">
        <v>862</v>
      </c>
      <c r="J130" s="85"/>
      <c r="K130" s="134">
        <f t="shared" si="4"/>
        <v>862</v>
      </c>
      <c r="L130" s="130">
        <f t="shared" si="5"/>
        <v>129385</v>
      </c>
    </row>
    <row r="131" spans="1:12" hidden="1" outlineLevel="1" x14ac:dyDescent="0.35">
      <c r="A131" s="37" t="s">
        <v>551</v>
      </c>
      <c r="B131" s="62" t="s">
        <v>552</v>
      </c>
      <c r="C131" s="54" t="s">
        <v>920</v>
      </c>
      <c r="D131" s="85"/>
      <c r="E131" s="63"/>
      <c r="F131" s="83"/>
      <c r="G131" s="64"/>
      <c r="H131" s="85"/>
      <c r="I131" s="64"/>
      <c r="J131" s="85"/>
      <c r="K131" s="134">
        <f t="shared" si="4"/>
        <v>0</v>
      </c>
      <c r="L131" s="130">
        <f t="shared" si="5"/>
        <v>0</v>
      </c>
    </row>
    <row r="132" spans="1:12" hidden="1" outlineLevel="1" x14ac:dyDescent="0.35">
      <c r="A132" s="37" t="s">
        <v>553</v>
      </c>
      <c r="B132" s="62" t="s">
        <v>554</v>
      </c>
      <c r="C132" s="54" t="s">
        <v>920</v>
      </c>
      <c r="D132" s="85"/>
      <c r="E132" s="63"/>
      <c r="F132" s="83"/>
      <c r="G132" s="64"/>
      <c r="H132" s="85"/>
      <c r="I132" s="64"/>
      <c r="J132" s="85"/>
      <c r="K132" s="134">
        <f t="shared" si="4"/>
        <v>0</v>
      </c>
      <c r="L132" s="130">
        <f t="shared" si="5"/>
        <v>0</v>
      </c>
    </row>
    <row r="133" spans="1:12" hidden="1" outlineLevel="1" x14ac:dyDescent="0.35">
      <c r="A133" s="37" t="s">
        <v>555</v>
      </c>
      <c r="B133" s="62" t="s">
        <v>556</v>
      </c>
      <c r="C133" s="54" t="s">
        <v>920</v>
      </c>
      <c r="D133" s="85"/>
      <c r="E133" s="63"/>
      <c r="F133" s="83"/>
      <c r="G133" s="64"/>
      <c r="H133" s="85"/>
      <c r="I133" s="64"/>
      <c r="J133" s="85"/>
      <c r="K133" s="134">
        <f t="shared" si="4"/>
        <v>0</v>
      </c>
      <c r="L133" s="130">
        <f t="shared" si="5"/>
        <v>0</v>
      </c>
    </row>
    <row r="134" spans="1:12" hidden="1" outlineLevel="1" x14ac:dyDescent="0.35">
      <c r="A134" s="37" t="s">
        <v>557</v>
      </c>
      <c r="B134" s="62" t="s">
        <v>558</v>
      </c>
      <c r="C134" s="54" t="s">
        <v>920</v>
      </c>
      <c r="D134" s="85"/>
      <c r="E134" s="63"/>
      <c r="F134" s="83"/>
      <c r="G134" s="64"/>
      <c r="H134" s="85"/>
      <c r="I134" s="64"/>
      <c r="J134" s="85"/>
      <c r="K134" s="134">
        <f t="shared" si="4"/>
        <v>0</v>
      </c>
      <c r="L134" s="130">
        <f t="shared" si="5"/>
        <v>0</v>
      </c>
    </row>
    <row r="135" spans="1:12" hidden="1" outlineLevel="1" x14ac:dyDescent="0.35">
      <c r="A135" s="37" t="s">
        <v>559</v>
      </c>
      <c r="B135" s="62" t="s">
        <v>560</v>
      </c>
      <c r="C135" s="54" t="s">
        <v>920</v>
      </c>
      <c r="D135" s="85"/>
      <c r="E135" s="63"/>
      <c r="F135" s="83"/>
      <c r="G135" s="64"/>
      <c r="H135" s="85"/>
      <c r="I135" s="64"/>
      <c r="J135" s="85"/>
      <c r="K135" s="134">
        <f t="shared" si="4"/>
        <v>0</v>
      </c>
      <c r="L135" s="130">
        <f t="shared" si="5"/>
        <v>0</v>
      </c>
    </row>
    <row r="136" spans="1:12" hidden="1" outlineLevel="1" x14ac:dyDescent="0.35">
      <c r="A136" s="37" t="s">
        <v>561</v>
      </c>
      <c r="B136" s="62" t="s">
        <v>562</v>
      </c>
      <c r="C136" s="54" t="s">
        <v>920</v>
      </c>
      <c r="D136" s="85"/>
      <c r="E136" s="63"/>
      <c r="F136" s="83"/>
      <c r="G136" s="64"/>
      <c r="H136" s="85"/>
      <c r="I136" s="64"/>
      <c r="J136" s="85"/>
      <c r="K136" s="134">
        <f t="shared" si="4"/>
        <v>0</v>
      </c>
      <c r="L136" s="130">
        <f t="shared" si="5"/>
        <v>0</v>
      </c>
    </row>
    <row r="137" spans="1:12" hidden="1" outlineLevel="1" x14ac:dyDescent="0.35">
      <c r="A137" s="37" t="s">
        <v>563</v>
      </c>
      <c r="B137" s="62" t="s">
        <v>564</v>
      </c>
      <c r="C137" s="54" t="s">
        <v>920</v>
      </c>
      <c r="D137" s="85"/>
      <c r="E137" s="63"/>
      <c r="F137" s="83"/>
      <c r="G137" s="64"/>
      <c r="H137" s="85"/>
      <c r="I137" s="64"/>
      <c r="J137" s="85"/>
      <c r="K137" s="134">
        <f t="shared" ref="K137:K201" si="8">I137+J137</f>
        <v>0</v>
      </c>
      <c r="L137" s="130">
        <f t="shared" ref="L137:L201" si="9">K137+D137+E137+F137+G137+H137</f>
        <v>0</v>
      </c>
    </row>
    <row r="138" spans="1:12" hidden="1" outlineLevel="1" x14ac:dyDescent="0.35">
      <c r="A138" s="37" t="s">
        <v>565</v>
      </c>
      <c r="B138" s="62" t="s">
        <v>566</v>
      </c>
      <c r="C138" s="54" t="s">
        <v>920</v>
      </c>
      <c r="D138" s="85"/>
      <c r="E138" s="63"/>
      <c r="F138" s="83"/>
      <c r="G138" s="64"/>
      <c r="H138" s="85"/>
      <c r="I138" s="64"/>
      <c r="J138" s="85"/>
      <c r="K138" s="134">
        <f t="shared" si="8"/>
        <v>0</v>
      </c>
      <c r="L138" s="130">
        <f t="shared" si="9"/>
        <v>0</v>
      </c>
    </row>
    <row r="139" spans="1:12" hidden="1" outlineLevel="1" x14ac:dyDescent="0.35">
      <c r="A139" s="37" t="s">
        <v>567</v>
      </c>
      <c r="B139" s="62" t="s">
        <v>923</v>
      </c>
      <c r="C139" s="54" t="s">
        <v>920</v>
      </c>
      <c r="D139" s="85"/>
      <c r="E139" s="63"/>
      <c r="F139" s="83"/>
      <c r="G139" s="64"/>
      <c r="H139" s="85"/>
      <c r="I139" s="64"/>
      <c r="J139" s="85"/>
      <c r="K139" s="134">
        <f t="shared" si="8"/>
        <v>0</v>
      </c>
      <c r="L139" s="130">
        <f t="shared" si="9"/>
        <v>0</v>
      </c>
    </row>
    <row r="140" spans="1:12" hidden="1" outlineLevel="1" x14ac:dyDescent="0.35">
      <c r="A140" s="37" t="s">
        <v>568</v>
      </c>
      <c r="B140" s="62" t="s">
        <v>569</v>
      </c>
      <c r="C140" s="54" t="s">
        <v>920</v>
      </c>
      <c r="D140" s="85"/>
      <c r="E140" s="63"/>
      <c r="F140" s="83"/>
      <c r="G140" s="64"/>
      <c r="H140" s="85"/>
      <c r="I140" s="64"/>
      <c r="J140" s="85"/>
      <c r="K140" s="134">
        <f t="shared" si="8"/>
        <v>0</v>
      </c>
      <c r="L140" s="130">
        <f t="shared" si="9"/>
        <v>0</v>
      </c>
    </row>
    <row r="141" spans="1:12" hidden="1" outlineLevel="1" x14ac:dyDescent="0.35">
      <c r="A141" s="37" t="s">
        <v>570</v>
      </c>
      <c r="B141" s="62" t="s">
        <v>571</v>
      </c>
      <c r="C141" s="54" t="s">
        <v>920</v>
      </c>
      <c r="D141" s="85"/>
      <c r="E141" s="63"/>
      <c r="F141" s="83"/>
      <c r="G141" s="64"/>
      <c r="H141" s="85"/>
      <c r="I141" s="64"/>
      <c r="J141" s="85"/>
      <c r="K141" s="134">
        <f t="shared" si="8"/>
        <v>0</v>
      </c>
      <c r="L141" s="130">
        <f t="shared" si="9"/>
        <v>0</v>
      </c>
    </row>
    <row r="142" spans="1:12" hidden="1" outlineLevel="1" x14ac:dyDescent="0.35">
      <c r="A142" s="37" t="s">
        <v>572</v>
      </c>
      <c r="B142" s="62" t="s">
        <v>573</v>
      </c>
      <c r="C142" s="54" t="s">
        <v>920</v>
      </c>
      <c r="D142" s="85"/>
      <c r="E142" s="63"/>
      <c r="F142" s="83"/>
      <c r="G142" s="64"/>
      <c r="H142" s="85"/>
      <c r="I142" s="64"/>
      <c r="J142" s="85"/>
      <c r="K142" s="134">
        <f t="shared" si="8"/>
        <v>0</v>
      </c>
      <c r="L142" s="130">
        <f t="shared" si="9"/>
        <v>0</v>
      </c>
    </row>
    <row r="143" spans="1:12" hidden="1" outlineLevel="1" x14ac:dyDescent="0.35">
      <c r="A143" s="37" t="s">
        <v>574</v>
      </c>
      <c r="B143" s="62" t="s">
        <v>575</v>
      </c>
      <c r="C143" s="54" t="s">
        <v>920</v>
      </c>
      <c r="D143" s="85"/>
      <c r="E143" s="63"/>
      <c r="F143" s="83"/>
      <c r="G143" s="64"/>
      <c r="H143" s="85"/>
      <c r="I143" s="64"/>
      <c r="J143" s="85"/>
      <c r="K143" s="134">
        <f t="shared" si="8"/>
        <v>0</v>
      </c>
      <c r="L143" s="130">
        <f t="shared" si="9"/>
        <v>0</v>
      </c>
    </row>
    <row r="144" spans="1:12" hidden="1" outlineLevel="1" x14ac:dyDescent="0.35">
      <c r="A144" s="37" t="s">
        <v>576</v>
      </c>
      <c r="B144" s="62" t="s">
        <v>577</v>
      </c>
      <c r="C144" s="54" t="s">
        <v>920</v>
      </c>
      <c r="D144" s="85"/>
      <c r="E144" s="63"/>
      <c r="F144" s="83"/>
      <c r="G144" s="64">
        <v>15620</v>
      </c>
      <c r="H144" s="85">
        <v>-54235</v>
      </c>
      <c r="I144" s="64"/>
      <c r="J144" s="85"/>
      <c r="K144" s="134">
        <f t="shared" si="8"/>
        <v>0</v>
      </c>
      <c r="L144" s="130">
        <f t="shared" si="9"/>
        <v>-38615</v>
      </c>
    </row>
    <row r="145" spans="1:12" hidden="1" outlineLevel="1" x14ac:dyDescent="0.35">
      <c r="A145" s="37" t="s">
        <v>578</v>
      </c>
      <c r="B145" s="62" t="s">
        <v>579</v>
      </c>
      <c r="C145" s="54" t="s">
        <v>920</v>
      </c>
      <c r="D145" s="85"/>
      <c r="E145" s="63">
        <v>9795</v>
      </c>
      <c r="F145" s="91"/>
      <c r="G145" s="64"/>
      <c r="H145" s="85"/>
      <c r="I145" s="64"/>
      <c r="J145" s="85"/>
      <c r="K145" s="134">
        <f t="shared" si="8"/>
        <v>0</v>
      </c>
      <c r="L145" s="130">
        <f t="shared" si="9"/>
        <v>9795</v>
      </c>
    </row>
    <row r="146" spans="1:12" hidden="1" outlineLevel="1" x14ac:dyDescent="0.35">
      <c r="A146" s="37" t="s">
        <v>580</v>
      </c>
      <c r="B146" s="62" t="s">
        <v>581</v>
      </c>
      <c r="C146" s="54" t="s">
        <v>920</v>
      </c>
      <c r="D146" s="85"/>
      <c r="E146" s="63"/>
      <c r="F146" s="83"/>
      <c r="G146" s="64"/>
      <c r="H146" s="85"/>
      <c r="I146" s="64"/>
      <c r="J146" s="85"/>
      <c r="K146" s="134">
        <f t="shared" si="8"/>
        <v>0</v>
      </c>
      <c r="L146" s="130">
        <f t="shared" si="9"/>
        <v>0</v>
      </c>
    </row>
    <row r="147" spans="1:12" hidden="1" outlineLevel="1" x14ac:dyDescent="0.35">
      <c r="A147" s="37" t="s">
        <v>582</v>
      </c>
      <c r="B147" s="62" t="s">
        <v>583</v>
      </c>
      <c r="C147" s="54" t="s">
        <v>920</v>
      </c>
      <c r="D147" s="85"/>
      <c r="E147" s="63"/>
      <c r="F147" s="83"/>
      <c r="G147" s="64"/>
      <c r="H147" s="85"/>
      <c r="I147" s="64"/>
      <c r="J147" s="85"/>
      <c r="K147" s="134">
        <f t="shared" si="8"/>
        <v>0</v>
      </c>
      <c r="L147" s="130">
        <f t="shared" si="9"/>
        <v>0</v>
      </c>
    </row>
    <row r="148" spans="1:12" x14ac:dyDescent="0.35">
      <c r="A148" s="37"/>
      <c r="B148" s="72" t="s">
        <v>1286</v>
      </c>
      <c r="C148" s="53"/>
      <c r="D148" s="88">
        <f>D4+D66-D103</f>
        <v>1354968.3333333333</v>
      </c>
      <c r="E148" s="76">
        <f t="shared" ref="E148:I148" si="10">E4+E66-E103</f>
        <v>835573</v>
      </c>
      <c r="F148" s="88">
        <f t="shared" si="10"/>
        <v>2554802</v>
      </c>
      <c r="G148" s="76">
        <f t="shared" si="10"/>
        <v>3092408</v>
      </c>
      <c r="H148" s="88">
        <f t="shared" si="10"/>
        <v>2774468</v>
      </c>
      <c r="I148" s="76">
        <f t="shared" si="10"/>
        <v>955722</v>
      </c>
      <c r="J148" s="88"/>
      <c r="K148" s="137">
        <f>K102-K103</f>
        <v>5063045</v>
      </c>
      <c r="L148" s="138">
        <f t="shared" si="9"/>
        <v>15675264.333333332</v>
      </c>
    </row>
    <row r="149" spans="1:12" collapsed="1" x14ac:dyDescent="0.35">
      <c r="A149" s="37"/>
      <c r="B149" s="62" t="s">
        <v>925</v>
      </c>
      <c r="C149" s="54"/>
      <c r="D149" s="85">
        <f>SUM(D150:D195)</f>
        <v>0</v>
      </c>
      <c r="E149" s="65">
        <f t="shared" ref="E149:J149" si="11">SUM(E150:E195)</f>
        <v>80240</v>
      </c>
      <c r="F149" s="85">
        <f t="shared" si="11"/>
        <v>24803</v>
      </c>
      <c r="G149" s="65">
        <f t="shared" si="11"/>
        <v>9235</v>
      </c>
      <c r="H149" s="85">
        <f t="shared" si="11"/>
        <v>0</v>
      </c>
      <c r="I149" s="65">
        <f t="shared" si="11"/>
        <v>736276</v>
      </c>
      <c r="J149" s="85">
        <f t="shared" si="11"/>
        <v>3667057</v>
      </c>
      <c r="K149" s="134">
        <f t="shared" si="8"/>
        <v>4403333</v>
      </c>
      <c r="L149" s="130">
        <f t="shared" si="9"/>
        <v>4517611</v>
      </c>
    </row>
    <row r="150" spans="1:12" hidden="1" outlineLevel="1" x14ac:dyDescent="0.35">
      <c r="A150" s="37" t="s">
        <v>584</v>
      </c>
      <c r="B150" s="62" t="s">
        <v>585</v>
      </c>
      <c r="C150" s="54" t="s">
        <v>925</v>
      </c>
      <c r="D150" s="85"/>
      <c r="E150" s="63"/>
      <c r="F150" s="83">
        <v>1287142</v>
      </c>
      <c r="G150" s="162">
        <v>815289</v>
      </c>
      <c r="H150" s="85">
        <v>765764</v>
      </c>
      <c r="I150" s="64">
        <v>404094</v>
      </c>
      <c r="J150" s="85"/>
      <c r="K150" s="134">
        <f t="shared" si="8"/>
        <v>404094</v>
      </c>
      <c r="L150" s="130">
        <f t="shared" si="9"/>
        <v>3272289</v>
      </c>
    </row>
    <row r="151" spans="1:12" hidden="1" outlineLevel="1" x14ac:dyDescent="0.35">
      <c r="A151" s="37"/>
      <c r="B151" s="117" t="s">
        <v>1305</v>
      </c>
      <c r="C151" s="118"/>
      <c r="D151" s="119"/>
      <c r="E151" s="121"/>
      <c r="F151" s="122">
        <v>-1557376</v>
      </c>
      <c r="G151" s="123">
        <v>-1111511</v>
      </c>
      <c r="H151" s="119">
        <v>-998170</v>
      </c>
      <c r="I151" s="120">
        <v>0</v>
      </c>
      <c r="J151" s="128">
        <f>-H151-G151-F151-E151-D151</f>
        <v>3667057</v>
      </c>
      <c r="K151" s="133">
        <f>+J151+I151</f>
        <v>3667057</v>
      </c>
      <c r="L151" s="129">
        <f>+K151+H151+G151+F151+E151+D151</f>
        <v>0</v>
      </c>
    </row>
    <row r="152" spans="1:12" hidden="1" outlineLevel="1" x14ac:dyDescent="0.35">
      <c r="A152" s="37" t="s">
        <v>586</v>
      </c>
      <c r="B152" s="62" t="s">
        <v>587</v>
      </c>
      <c r="C152" s="54" t="s">
        <v>925</v>
      </c>
      <c r="D152" s="85"/>
      <c r="E152" s="63"/>
      <c r="F152" s="83"/>
      <c r="G152" s="64">
        <v>4333</v>
      </c>
      <c r="H152" s="85"/>
      <c r="I152" s="64"/>
      <c r="J152" s="85"/>
      <c r="K152" s="134">
        <f t="shared" si="8"/>
        <v>0</v>
      </c>
      <c r="L152" s="130">
        <f t="shared" si="9"/>
        <v>4333</v>
      </c>
    </row>
    <row r="153" spans="1:12" hidden="1" outlineLevel="1" x14ac:dyDescent="0.35">
      <c r="A153" s="37" t="s">
        <v>588</v>
      </c>
      <c r="B153" s="62" t="s">
        <v>589</v>
      </c>
      <c r="C153" s="54" t="s">
        <v>925</v>
      </c>
      <c r="D153" s="85"/>
      <c r="E153" s="63"/>
      <c r="F153" s="83">
        <v>24803</v>
      </c>
      <c r="G153" s="64">
        <v>2750</v>
      </c>
      <c r="H153" s="85"/>
      <c r="I153" s="64">
        <v>183708</v>
      </c>
      <c r="J153" s="85"/>
      <c r="K153" s="134">
        <f t="shared" si="8"/>
        <v>183708</v>
      </c>
      <c r="L153" s="130">
        <f t="shared" si="9"/>
        <v>211261</v>
      </c>
    </row>
    <row r="154" spans="1:12" hidden="1" outlineLevel="1" x14ac:dyDescent="0.35">
      <c r="A154" s="37" t="s">
        <v>590</v>
      </c>
      <c r="B154" s="62" t="s">
        <v>591</v>
      </c>
      <c r="C154" s="54" t="s">
        <v>925</v>
      </c>
      <c r="D154" s="85"/>
      <c r="E154" s="63"/>
      <c r="F154" s="83"/>
      <c r="G154" s="64"/>
      <c r="H154" s="85"/>
      <c r="I154" s="64"/>
      <c r="J154" s="85"/>
      <c r="K154" s="134">
        <f t="shared" si="8"/>
        <v>0</v>
      </c>
      <c r="L154" s="130">
        <f t="shared" si="9"/>
        <v>0</v>
      </c>
    </row>
    <row r="155" spans="1:12" hidden="1" outlineLevel="1" x14ac:dyDescent="0.35">
      <c r="A155" s="37" t="s">
        <v>592</v>
      </c>
      <c r="B155" s="62" t="s">
        <v>593</v>
      </c>
      <c r="C155" s="54" t="s">
        <v>925</v>
      </c>
      <c r="D155" s="85"/>
      <c r="E155" s="63"/>
      <c r="F155" s="83"/>
      <c r="G155" s="64">
        <v>-6926</v>
      </c>
      <c r="H155" s="85">
        <v>94912</v>
      </c>
      <c r="I155" s="64"/>
      <c r="J155" s="85"/>
      <c r="K155" s="134">
        <f t="shared" si="8"/>
        <v>0</v>
      </c>
      <c r="L155" s="130">
        <f t="shared" si="9"/>
        <v>87986</v>
      </c>
    </row>
    <row r="156" spans="1:12" hidden="1" outlineLevel="1" x14ac:dyDescent="0.35">
      <c r="A156" s="37" t="s">
        <v>594</v>
      </c>
      <c r="B156" s="62" t="s">
        <v>595</v>
      </c>
      <c r="C156" s="54" t="s">
        <v>925</v>
      </c>
      <c r="D156" s="85"/>
      <c r="E156" s="63"/>
      <c r="F156" s="83">
        <v>181542</v>
      </c>
      <c r="G156" s="162">
        <v>97834</v>
      </c>
      <c r="H156" s="85"/>
      <c r="I156" s="64">
        <v>55096</v>
      </c>
      <c r="J156" s="85"/>
      <c r="K156" s="134">
        <f t="shared" si="8"/>
        <v>55096</v>
      </c>
      <c r="L156" s="130">
        <f t="shared" si="9"/>
        <v>334472</v>
      </c>
    </row>
    <row r="157" spans="1:12" hidden="1" outlineLevel="1" x14ac:dyDescent="0.35">
      <c r="A157" s="37" t="s">
        <v>596</v>
      </c>
      <c r="B157" s="62" t="s">
        <v>597</v>
      </c>
      <c r="C157" s="54" t="s">
        <v>925</v>
      </c>
      <c r="D157" s="85"/>
      <c r="E157" s="63"/>
      <c r="F157" s="83"/>
      <c r="G157" s="64">
        <v>9355</v>
      </c>
      <c r="H157" s="85"/>
      <c r="I157" s="64"/>
      <c r="J157" s="85"/>
      <c r="K157" s="134">
        <f t="shared" si="8"/>
        <v>0</v>
      </c>
      <c r="L157" s="130">
        <f t="shared" si="9"/>
        <v>9355</v>
      </c>
    </row>
    <row r="158" spans="1:12" hidden="1" outlineLevel="1" x14ac:dyDescent="0.35">
      <c r="A158" s="37" t="s">
        <v>598</v>
      </c>
      <c r="B158" s="62" t="s">
        <v>599</v>
      </c>
      <c r="C158" s="54" t="s">
        <v>925</v>
      </c>
      <c r="D158" s="85"/>
      <c r="E158" s="63"/>
      <c r="F158" s="83"/>
      <c r="G158" s="64"/>
      <c r="H158" s="85"/>
      <c r="I158" s="64"/>
      <c r="J158" s="85"/>
      <c r="K158" s="134">
        <f t="shared" si="8"/>
        <v>0</v>
      </c>
      <c r="L158" s="130">
        <f t="shared" si="9"/>
        <v>0</v>
      </c>
    </row>
    <row r="159" spans="1:12" hidden="1" outlineLevel="1" x14ac:dyDescent="0.35">
      <c r="A159" s="37" t="s">
        <v>600</v>
      </c>
      <c r="B159" s="62" t="s">
        <v>601</v>
      </c>
      <c r="C159" s="54" t="s">
        <v>925</v>
      </c>
      <c r="D159" s="85"/>
      <c r="E159" s="63"/>
      <c r="F159" s="83"/>
      <c r="G159" s="64">
        <v>818</v>
      </c>
      <c r="H159" s="85"/>
      <c r="I159" s="64"/>
      <c r="J159" s="85"/>
      <c r="K159" s="134">
        <f t="shared" si="8"/>
        <v>0</v>
      </c>
      <c r="L159" s="130">
        <f t="shared" si="9"/>
        <v>818</v>
      </c>
    </row>
    <row r="160" spans="1:12" hidden="1" outlineLevel="1" x14ac:dyDescent="0.35">
      <c r="A160" s="37" t="s">
        <v>602</v>
      </c>
      <c r="B160" s="62" t="s">
        <v>603</v>
      </c>
      <c r="C160" s="54" t="s">
        <v>925</v>
      </c>
      <c r="D160" s="85"/>
      <c r="E160" s="63"/>
      <c r="F160" s="83"/>
      <c r="G160" s="64"/>
      <c r="H160" s="85"/>
      <c r="I160" s="64"/>
      <c r="J160" s="85"/>
      <c r="K160" s="134">
        <f t="shared" si="8"/>
        <v>0</v>
      </c>
      <c r="L160" s="130">
        <f t="shared" si="9"/>
        <v>0</v>
      </c>
    </row>
    <row r="161" spans="1:12" hidden="1" outlineLevel="1" x14ac:dyDescent="0.35">
      <c r="A161" s="37" t="s">
        <v>604</v>
      </c>
      <c r="B161" s="62" t="s">
        <v>605</v>
      </c>
      <c r="C161" s="54" t="s">
        <v>925</v>
      </c>
      <c r="D161" s="85"/>
      <c r="E161" s="63"/>
      <c r="F161" s="83"/>
      <c r="G161" s="64"/>
      <c r="H161" s="85"/>
      <c r="I161" s="64"/>
      <c r="J161" s="85"/>
      <c r="K161" s="134">
        <f t="shared" si="8"/>
        <v>0</v>
      </c>
      <c r="L161" s="130">
        <f t="shared" si="9"/>
        <v>0</v>
      </c>
    </row>
    <row r="162" spans="1:12" hidden="1" outlineLevel="1" x14ac:dyDescent="0.35">
      <c r="A162" s="37" t="s">
        <v>606</v>
      </c>
      <c r="B162" s="62" t="s">
        <v>607</v>
      </c>
      <c r="C162" s="54" t="s">
        <v>925</v>
      </c>
      <c r="D162" s="85"/>
      <c r="E162" s="63"/>
      <c r="F162" s="83"/>
      <c r="G162" s="64"/>
      <c r="H162" s="85"/>
      <c r="I162" s="64"/>
      <c r="J162" s="85"/>
      <c r="K162" s="134">
        <f t="shared" si="8"/>
        <v>0</v>
      </c>
      <c r="L162" s="130">
        <f t="shared" si="9"/>
        <v>0</v>
      </c>
    </row>
    <row r="163" spans="1:12" hidden="1" outlineLevel="1" x14ac:dyDescent="0.35">
      <c r="A163" s="37" t="s">
        <v>608</v>
      </c>
      <c r="B163" s="62" t="s">
        <v>609</v>
      </c>
      <c r="C163" s="54" t="s">
        <v>925</v>
      </c>
      <c r="D163" s="85"/>
      <c r="E163" s="63"/>
      <c r="F163" s="83"/>
      <c r="G163" s="64"/>
      <c r="H163" s="85"/>
      <c r="I163" s="64"/>
      <c r="J163" s="85"/>
      <c r="K163" s="134">
        <f t="shared" si="8"/>
        <v>0</v>
      </c>
      <c r="L163" s="130">
        <f t="shared" si="9"/>
        <v>0</v>
      </c>
    </row>
    <row r="164" spans="1:12" hidden="1" outlineLevel="1" x14ac:dyDescent="0.35">
      <c r="A164" s="37" t="s">
        <v>610</v>
      </c>
      <c r="B164" s="62" t="s">
        <v>611</v>
      </c>
      <c r="C164" s="54" t="s">
        <v>925</v>
      </c>
      <c r="D164" s="85"/>
      <c r="E164" s="63"/>
      <c r="F164" s="83"/>
      <c r="G164" s="64"/>
      <c r="H164" s="85"/>
      <c r="I164" s="64"/>
      <c r="J164" s="85"/>
      <c r="K164" s="134">
        <f t="shared" si="8"/>
        <v>0</v>
      </c>
      <c r="L164" s="130">
        <f t="shared" si="9"/>
        <v>0</v>
      </c>
    </row>
    <row r="165" spans="1:12" hidden="1" outlineLevel="1" x14ac:dyDescent="0.35">
      <c r="A165" s="37" t="s">
        <v>612</v>
      </c>
      <c r="B165" s="62" t="s">
        <v>613</v>
      </c>
      <c r="C165" s="54" t="s">
        <v>925</v>
      </c>
      <c r="D165" s="85"/>
      <c r="E165" s="63"/>
      <c r="F165" s="83">
        <v>4711</v>
      </c>
      <c r="G165" s="64"/>
      <c r="H165" s="85"/>
      <c r="I165" s="64">
        <v>14995</v>
      </c>
      <c r="J165" s="85"/>
      <c r="K165" s="134">
        <f t="shared" si="8"/>
        <v>14995</v>
      </c>
      <c r="L165" s="130">
        <f t="shared" si="9"/>
        <v>19706</v>
      </c>
    </row>
    <row r="166" spans="1:12" hidden="1" outlineLevel="1" x14ac:dyDescent="0.35">
      <c r="A166" s="37" t="s">
        <v>614</v>
      </c>
      <c r="B166" s="62" t="s">
        <v>615</v>
      </c>
      <c r="C166" s="54" t="s">
        <v>925</v>
      </c>
      <c r="D166" s="85"/>
      <c r="E166" s="63"/>
      <c r="F166" s="83"/>
      <c r="G166" s="64"/>
      <c r="H166" s="85"/>
      <c r="I166" s="64"/>
      <c r="J166" s="85"/>
      <c r="K166" s="134">
        <f t="shared" si="8"/>
        <v>0</v>
      </c>
      <c r="L166" s="130">
        <f t="shared" si="9"/>
        <v>0</v>
      </c>
    </row>
    <row r="167" spans="1:12" hidden="1" outlineLevel="1" x14ac:dyDescent="0.35">
      <c r="A167" s="37" t="s">
        <v>616</v>
      </c>
      <c r="B167" s="62" t="s">
        <v>617</v>
      </c>
      <c r="C167" s="54" t="s">
        <v>925</v>
      </c>
      <c r="D167" s="85"/>
      <c r="E167" s="63"/>
      <c r="F167" s="83"/>
      <c r="G167" s="64">
        <v>-818</v>
      </c>
      <c r="H167" s="85"/>
      <c r="I167" s="64">
        <v>-15198</v>
      </c>
      <c r="J167" s="85"/>
      <c r="K167" s="134">
        <f t="shared" si="8"/>
        <v>-15198</v>
      </c>
      <c r="L167" s="130">
        <f t="shared" si="9"/>
        <v>-16016</v>
      </c>
    </row>
    <row r="168" spans="1:12" hidden="1" outlineLevel="1" x14ac:dyDescent="0.35">
      <c r="A168" s="37" t="s">
        <v>618</v>
      </c>
      <c r="B168" s="62" t="s">
        <v>619</v>
      </c>
      <c r="C168" s="54" t="s">
        <v>925</v>
      </c>
      <c r="D168" s="85"/>
      <c r="E168" s="63"/>
      <c r="F168" s="83"/>
      <c r="G168" s="64"/>
      <c r="H168" s="85"/>
      <c r="I168" s="64"/>
      <c r="J168" s="85"/>
      <c r="K168" s="134">
        <f t="shared" si="8"/>
        <v>0</v>
      </c>
      <c r="L168" s="130">
        <f t="shared" si="9"/>
        <v>0</v>
      </c>
    </row>
    <row r="169" spans="1:12" hidden="1" outlineLevel="1" x14ac:dyDescent="0.35">
      <c r="A169" s="37" t="s">
        <v>620</v>
      </c>
      <c r="B169" s="62" t="s">
        <v>621</v>
      </c>
      <c r="C169" s="54" t="s">
        <v>925</v>
      </c>
      <c r="D169" s="85"/>
      <c r="E169" s="63">
        <v>80240</v>
      </c>
      <c r="F169" s="83"/>
      <c r="G169" s="64"/>
      <c r="H169" s="85"/>
      <c r="I169" s="64"/>
      <c r="J169" s="85"/>
      <c r="K169" s="134">
        <f t="shared" si="8"/>
        <v>0</v>
      </c>
      <c r="L169" s="130">
        <f t="shared" si="9"/>
        <v>80240</v>
      </c>
    </row>
    <row r="170" spans="1:12" hidden="1" outlineLevel="1" x14ac:dyDescent="0.35">
      <c r="A170" s="37" t="s">
        <v>622</v>
      </c>
      <c r="B170" s="62" t="s">
        <v>926</v>
      </c>
      <c r="C170" s="54" t="s">
        <v>925</v>
      </c>
      <c r="D170" s="85"/>
      <c r="E170" s="63"/>
      <c r="F170" s="83">
        <v>701</v>
      </c>
      <c r="G170" s="64">
        <v>13870</v>
      </c>
      <c r="H170" s="85"/>
      <c r="I170" s="64"/>
      <c r="J170" s="85"/>
      <c r="K170" s="134">
        <f t="shared" si="8"/>
        <v>0</v>
      </c>
      <c r="L170" s="130">
        <f t="shared" si="9"/>
        <v>14571</v>
      </c>
    </row>
    <row r="171" spans="1:12" hidden="1" outlineLevel="1" x14ac:dyDescent="0.35">
      <c r="A171" s="37" t="s">
        <v>623</v>
      </c>
      <c r="B171" s="62" t="s">
        <v>927</v>
      </c>
      <c r="C171" s="54" t="s">
        <v>925</v>
      </c>
      <c r="D171" s="85"/>
      <c r="E171" s="63"/>
      <c r="F171" s="83"/>
      <c r="G171" s="64">
        <v>367</v>
      </c>
      <c r="H171" s="85"/>
      <c r="I171" s="64"/>
      <c r="J171" s="85"/>
      <c r="K171" s="134">
        <f t="shared" si="8"/>
        <v>0</v>
      </c>
      <c r="L171" s="130">
        <f t="shared" si="9"/>
        <v>367</v>
      </c>
    </row>
    <row r="172" spans="1:12" hidden="1" outlineLevel="1" x14ac:dyDescent="0.35">
      <c r="A172" s="37" t="s">
        <v>624</v>
      </c>
      <c r="B172" s="62" t="s">
        <v>625</v>
      </c>
      <c r="C172" s="54" t="s">
        <v>925</v>
      </c>
      <c r="D172" s="85"/>
      <c r="E172" s="63"/>
      <c r="F172" s="83">
        <v>186495</v>
      </c>
      <c r="G172" s="162">
        <v>121618</v>
      </c>
      <c r="H172" s="85">
        <v>92147</v>
      </c>
      <c r="I172" s="64">
        <v>59957</v>
      </c>
      <c r="J172" s="85"/>
      <c r="K172" s="134">
        <f t="shared" si="8"/>
        <v>59957</v>
      </c>
      <c r="L172" s="130">
        <f t="shared" si="9"/>
        <v>460217</v>
      </c>
    </row>
    <row r="173" spans="1:12" hidden="1" outlineLevel="1" x14ac:dyDescent="0.35">
      <c r="A173" s="37" t="s">
        <v>626</v>
      </c>
      <c r="B173" s="62" t="s">
        <v>627</v>
      </c>
      <c r="C173" s="54" t="s">
        <v>925</v>
      </c>
      <c r="D173" s="85"/>
      <c r="E173" s="63"/>
      <c r="F173" s="83">
        <v>25600</v>
      </c>
      <c r="G173" s="162">
        <v>15114</v>
      </c>
      <c r="H173" s="85">
        <v>13277</v>
      </c>
      <c r="I173" s="64">
        <v>7869</v>
      </c>
      <c r="J173" s="85"/>
      <c r="K173" s="134">
        <f t="shared" si="8"/>
        <v>7869</v>
      </c>
      <c r="L173" s="130">
        <f t="shared" si="9"/>
        <v>61860</v>
      </c>
    </row>
    <row r="174" spans="1:12" hidden="1" outlineLevel="1" x14ac:dyDescent="0.35">
      <c r="A174" s="37" t="s">
        <v>628</v>
      </c>
      <c r="B174" s="62" t="s">
        <v>629</v>
      </c>
      <c r="C174" s="54" t="s">
        <v>925</v>
      </c>
      <c r="D174" s="85"/>
      <c r="E174" s="63"/>
      <c r="F174" s="83">
        <v>83827</v>
      </c>
      <c r="G174" s="64">
        <v>36979</v>
      </c>
      <c r="H174" s="85">
        <v>32070</v>
      </c>
      <c r="I174" s="64">
        <v>18749</v>
      </c>
      <c r="J174" s="85"/>
      <c r="K174" s="134">
        <f t="shared" si="8"/>
        <v>18749</v>
      </c>
      <c r="L174" s="130">
        <f t="shared" si="9"/>
        <v>171625</v>
      </c>
    </row>
    <row r="175" spans="1:12" hidden="1" outlineLevel="1" x14ac:dyDescent="0.35">
      <c r="A175" s="37" t="s">
        <v>630</v>
      </c>
      <c r="B175" s="62" t="s">
        <v>631</v>
      </c>
      <c r="C175" s="54" t="s">
        <v>925</v>
      </c>
      <c r="D175" s="85"/>
      <c r="E175" s="63"/>
      <c r="F175" s="83"/>
      <c r="G175" s="64"/>
      <c r="H175" s="85"/>
      <c r="I175" s="64"/>
      <c r="J175" s="85"/>
      <c r="K175" s="134">
        <f t="shared" si="8"/>
        <v>0</v>
      </c>
      <c r="L175" s="130">
        <f t="shared" si="9"/>
        <v>0</v>
      </c>
    </row>
    <row r="176" spans="1:12" hidden="1" outlineLevel="1" x14ac:dyDescent="0.35">
      <c r="A176" s="37" t="s">
        <v>632</v>
      </c>
      <c r="B176" s="62" t="s">
        <v>633</v>
      </c>
      <c r="C176" s="54" t="s">
        <v>925</v>
      </c>
      <c r="D176" s="85"/>
      <c r="E176" s="63"/>
      <c r="F176" s="83"/>
      <c r="G176" s="64">
        <v>2483</v>
      </c>
      <c r="H176" s="85"/>
      <c r="I176" s="64"/>
      <c r="J176" s="85"/>
      <c r="K176" s="134">
        <f t="shared" si="8"/>
        <v>0</v>
      </c>
      <c r="L176" s="130">
        <f t="shared" si="9"/>
        <v>2483</v>
      </c>
    </row>
    <row r="177" spans="1:12" hidden="1" outlineLevel="1" x14ac:dyDescent="0.35">
      <c r="A177" s="37" t="s">
        <v>634</v>
      </c>
      <c r="B177" s="62" t="s">
        <v>635</v>
      </c>
      <c r="C177" s="54" t="s">
        <v>925</v>
      </c>
      <c r="D177" s="85"/>
      <c r="E177" s="63"/>
      <c r="F177" s="83"/>
      <c r="G177" s="64"/>
      <c r="H177" s="85"/>
      <c r="I177" s="64"/>
      <c r="J177" s="85"/>
      <c r="K177" s="134">
        <f t="shared" si="8"/>
        <v>0</v>
      </c>
      <c r="L177" s="130">
        <f t="shared" si="9"/>
        <v>0</v>
      </c>
    </row>
    <row r="178" spans="1:12" hidden="1" outlineLevel="1" x14ac:dyDescent="0.35">
      <c r="A178" s="37" t="s">
        <v>636</v>
      </c>
      <c r="B178" s="62" t="s">
        <v>637</v>
      </c>
      <c r="C178" s="54" t="s">
        <v>925</v>
      </c>
      <c r="D178" s="85"/>
      <c r="E178" s="63"/>
      <c r="F178" s="83">
        <v>-212642</v>
      </c>
      <c r="G178" s="64">
        <v>-110</v>
      </c>
      <c r="H178" s="85"/>
      <c r="I178" s="64">
        <v>-52855</v>
      </c>
      <c r="J178" s="85"/>
      <c r="K178" s="134">
        <f t="shared" si="8"/>
        <v>-52855</v>
      </c>
      <c r="L178" s="130">
        <f t="shared" si="9"/>
        <v>-265607</v>
      </c>
    </row>
    <row r="179" spans="1:12" hidden="1" outlineLevel="1" x14ac:dyDescent="0.35">
      <c r="A179" s="37" t="s">
        <v>638</v>
      </c>
      <c r="B179" s="62" t="s">
        <v>639</v>
      </c>
      <c r="C179" s="54" t="s">
        <v>925</v>
      </c>
      <c r="D179" s="85"/>
      <c r="E179" s="63"/>
      <c r="F179" s="83">
        <v>70013</v>
      </c>
      <c r="G179" s="64">
        <v>-110</v>
      </c>
      <c r="H179" s="85"/>
      <c r="I179" s="64"/>
      <c r="J179" s="85"/>
      <c r="K179" s="134">
        <f t="shared" si="8"/>
        <v>0</v>
      </c>
      <c r="L179" s="130">
        <f t="shared" si="9"/>
        <v>69903</v>
      </c>
    </row>
    <row r="180" spans="1:12" hidden="1" outlineLevel="1" x14ac:dyDescent="0.35">
      <c r="A180" s="37" t="s">
        <v>640</v>
      </c>
      <c r="B180" s="62" t="s">
        <v>641</v>
      </c>
      <c r="C180" s="54" t="s">
        <v>925</v>
      </c>
      <c r="D180" s="85"/>
      <c r="E180" s="63"/>
      <c r="F180" s="83">
        <v>-70013</v>
      </c>
      <c r="G180" s="64">
        <v>110</v>
      </c>
      <c r="H180" s="85"/>
      <c r="I180" s="64"/>
      <c r="J180" s="85"/>
      <c r="K180" s="134">
        <f t="shared" si="8"/>
        <v>0</v>
      </c>
      <c r="L180" s="130">
        <f t="shared" si="9"/>
        <v>-69903</v>
      </c>
    </row>
    <row r="181" spans="1:12" hidden="1" outlineLevel="1" x14ac:dyDescent="0.35">
      <c r="A181" s="37" t="s">
        <v>642</v>
      </c>
      <c r="B181" s="62" t="s">
        <v>643</v>
      </c>
      <c r="C181" s="54" t="s">
        <v>925</v>
      </c>
      <c r="D181" s="85"/>
      <c r="E181" s="63"/>
      <c r="F181" s="83"/>
      <c r="G181" s="64"/>
      <c r="H181" s="85"/>
      <c r="I181" s="64"/>
      <c r="J181" s="85"/>
      <c r="K181" s="134">
        <f t="shared" si="8"/>
        <v>0</v>
      </c>
      <c r="L181" s="130">
        <f t="shared" si="9"/>
        <v>0</v>
      </c>
    </row>
    <row r="182" spans="1:12" hidden="1" outlineLevel="1" x14ac:dyDescent="0.35">
      <c r="A182" s="37" t="s">
        <v>644</v>
      </c>
      <c r="B182" s="62" t="s">
        <v>645</v>
      </c>
      <c r="C182" s="54" t="s">
        <v>925</v>
      </c>
      <c r="D182" s="85"/>
      <c r="E182" s="63"/>
      <c r="F182" s="83"/>
      <c r="G182" s="64"/>
      <c r="H182" s="85"/>
      <c r="I182" s="64"/>
      <c r="J182" s="85"/>
      <c r="K182" s="134">
        <f t="shared" si="8"/>
        <v>0</v>
      </c>
      <c r="L182" s="130">
        <f t="shared" si="9"/>
        <v>0</v>
      </c>
    </row>
    <row r="183" spans="1:12" hidden="1" outlineLevel="1" x14ac:dyDescent="0.35">
      <c r="A183" s="37" t="s">
        <v>646</v>
      </c>
      <c r="B183" s="62" t="s">
        <v>647</v>
      </c>
      <c r="C183" s="54" t="s">
        <v>925</v>
      </c>
      <c r="D183" s="85"/>
      <c r="E183" s="63"/>
      <c r="F183" s="83"/>
      <c r="G183" s="64">
        <v>449</v>
      </c>
      <c r="H183" s="85"/>
      <c r="I183" s="64">
        <v>111</v>
      </c>
      <c r="J183" s="85"/>
      <c r="K183" s="134">
        <f t="shared" si="8"/>
        <v>111</v>
      </c>
      <c r="L183" s="130">
        <f t="shared" si="9"/>
        <v>560</v>
      </c>
    </row>
    <row r="184" spans="1:12" hidden="1" outlineLevel="1" x14ac:dyDescent="0.35">
      <c r="A184" s="37" t="s">
        <v>648</v>
      </c>
      <c r="B184" s="62" t="s">
        <v>649</v>
      </c>
      <c r="C184" s="54" t="s">
        <v>925</v>
      </c>
      <c r="D184" s="85"/>
      <c r="E184" s="63"/>
      <c r="F184" s="83"/>
      <c r="G184" s="64"/>
      <c r="H184" s="85"/>
      <c r="I184" s="64"/>
      <c r="J184" s="85"/>
      <c r="K184" s="134">
        <f t="shared" si="8"/>
        <v>0</v>
      </c>
      <c r="L184" s="130">
        <f t="shared" si="9"/>
        <v>0</v>
      </c>
    </row>
    <row r="185" spans="1:12" hidden="1" outlineLevel="1" x14ac:dyDescent="0.35">
      <c r="A185" s="37" t="s">
        <v>650</v>
      </c>
      <c r="B185" s="62" t="s">
        <v>651</v>
      </c>
      <c r="C185" s="54" t="s">
        <v>925</v>
      </c>
      <c r="D185" s="85"/>
      <c r="E185" s="63"/>
      <c r="F185" s="83"/>
      <c r="G185" s="64"/>
      <c r="H185" s="85"/>
      <c r="I185" s="64"/>
      <c r="J185" s="85"/>
      <c r="K185" s="134">
        <f t="shared" si="8"/>
        <v>0</v>
      </c>
      <c r="L185" s="130">
        <f t="shared" si="9"/>
        <v>0</v>
      </c>
    </row>
    <row r="186" spans="1:12" hidden="1" outlineLevel="1" x14ac:dyDescent="0.35">
      <c r="A186" s="37" t="s">
        <v>652</v>
      </c>
      <c r="B186" s="62" t="s">
        <v>653</v>
      </c>
      <c r="C186" s="54" t="s">
        <v>925</v>
      </c>
      <c r="D186" s="85"/>
      <c r="E186" s="63"/>
      <c r="F186" s="83"/>
      <c r="G186" s="64">
        <v>2623</v>
      </c>
      <c r="H186" s="85"/>
      <c r="I186" s="64"/>
      <c r="J186" s="85"/>
      <c r="K186" s="134">
        <f t="shared" si="8"/>
        <v>0</v>
      </c>
      <c r="L186" s="130">
        <f t="shared" si="9"/>
        <v>2623</v>
      </c>
    </row>
    <row r="187" spans="1:12" hidden="1" outlineLevel="1" x14ac:dyDescent="0.35">
      <c r="A187" s="37" t="s">
        <v>654</v>
      </c>
      <c r="B187" s="62" t="s">
        <v>655</v>
      </c>
      <c r="C187" s="54" t="s">
        <v>925</v>
      </c>
      <c r="D187" s="85"/>
      <c r="E187" s="63"/>
      <c r="F187" s="83"/>
      <c r="G187" s="64"/>
      <c r="H187" s="85"/>
      <c r="I187" s="64"/>
      <c r="J187" s="85"/>
      <c r="K187" s="134">
        <f t="shared" si="8"/>
        <v>0</v>
      </c>
      <c r="L187" s="130">
        <f t="shared" si="9"/>
        <v>0</v>
      </c>
    </row>
    <row r="188" spans="1:12" hidden="1" outlineLevel="1" x14ac:dyDescent="0.35">
      <c r="A188" s="55" t="s">
        <v>656</v>
      </c>
      <c r="B188" s="78" t="s">
        <v>657</v>
      </c>
      <c r="C188" s="54" t="s">
        <v>925</v>
      </c>
      <c r="D188" s="85"/>
      <c r="E188" s="63"/>
      <c r="F188" s="83"/>
      <c r="G188" s="64"/>
      <c r="H188" s="85"/>
      <c r="I188" s="64"/>
      <c r="J188" s="85"/>
      <c r="K188" s="134">
        <f t="shared" si="8"/>
        <v>0</v>
      </c>
      <c r="L188" s="130">
        <f t="shared" si="9"/>
        <v>0</v>
      </c>
    </row>
    <row r="189" spans="1:12" hidden="1" outlineLevel="1" x14ac:dyDescent="0.35">
      <c r="A189" s="55" t="s">
        <v>658</v>
      </c>
      <c r="B189" s="78" t="s">
        <v>659</v>
      </c>
      <c r="C189" s="54" t="s">
        <v>925</v>
      </c>
      <c r="D189" s="85"/>
      <c r="E189" s="63"/>
      <c r="F189" s="83"/>
      <c r="G189" s="64"/>
      <c r="H189" s="85"/>
      <c r="I189" s="64"/>
      <c r="J189" s="85"/>
      <c r="K189" s="134">
        <f t="shared" si="8"/>
        <v>0</v>
      </c>
      <c r="L189" s="130">
        <f t="shared" si="9"/>
        <v>0</v>
      </c>
    </row>
    <row r="190" spans="1:12" hidden="1" outlineLevel="1" x14ac:dyDescent="0.35">
      <c r="A190" s="37" t="s">
        <v>660</v>
      </c>
      <c r="B190" s="62" t="s">
        <v>661</v>
      </c>
      <c r="C190" s="54" t="s">
        <v>925</v>
      </c>
      <c r="D190" s="85"/>
      <c r="E190" s="63"/>
      <c r="F190" s="83"/>
      <c r="G190" s="64"/>
      <c r="H190" s="85"/>
      <c r="I190" s="64"/>
      <c r="J190" s="85"/>
      <c r="K190" s="134">
        <f t="shared" si="8"/>
        <v>0</v>
      </c>
      <c r="L190" s="130">
        <f t="shared" si="9"/>
        <v>0</v>
      </c>
    </row>
    <row r="191" spans="1:12" hidden="1" outlineLevel="1" x14ac:dyDescent="0.35">
      <c r="A191" s="37" t="s">
        <v>662</v>
      </c>
      <c r="B191" s="62" t="s">
        <v>663</v>
      </c>
      <c r="C191" s="54" t="s">
        <v>925</v>
      </c>
      <c r="D191" s="85"/>
      <c r="E191" s="63"/>
      <c r="F191" s="83">
        <v>31629</v>
      </c>
      <c r="G191" s="64">
        <v>36979</v>
      </c>
      <c r="H191" s="85"/>
      <c r="I191" s="64"/>
      <c r="J191" s="85"/>
      <c r="K191" s="134">
        <f t="shared" si="8"/>
        <v>0</v>
      </c>
      <c r="L191" s="130">
        <f t="shared" si="9"/>
        <v>68608</v>
      </c>
    </row>
    <row r="192" spans="1:12" hidden="1" outlineLevel="1" x14ac:dyDescent="0.35">
      <c r="A192" s="37" t="s">
        <v>664</v>
      </c>
      <c r="B192" s="62" t="s">
        <v>665</v>
      </c>
      <c r="C192" s="54" t="s">
        <v>925</v>
      </c>
      <c r="D192" s="85"/>
      <c r="E192" s="63"/>
      <c r="F192" s="83">
        <v>-31629</v>
      </c>
      <c r="G192" s="64">
        <v>-36979</v>
      </c>
      <c r="H192" s="85"/>
      <c r="I192" s="64"/>
      <c r="J192" s="85"/>
      <c r="K192" s="134">
        <f t="shared" si="8"/>
        <v>0</v>
      </c>
      <c r="L192" s="130">
        <f t="shared" si="9"/>
        <v>-68608</v>
      </c>
    </row>
    <row r="193" spans="1:12" hidden="1" outlineLevel="1" x14ac:dyDescent="0.35">
      <c r="A193" s="37" t="s">
        <v>666</v>
      </c>
      <c r="B193" s="62" t="s">
        <v>667</v>
      </c>
      <c r="C193" s="54" t="s">
        <v>925</v>
      </c>
      <c r="D193" s="85"/>
      <c r="E193" s="63"/>
      <c r="F193" s="83"/>
      <c r="G193" s="64">
        <v>4718</v>
      </c>
      <c r="H193" s="85"/>
      <c r="I193" s="64"/>
      <c r="J193" s="85"/>
      <c r="K193" s="134">
        <f t="shared" si="8"/>
        <v>0</v>
      </c>
      <c r="L193" s="130">
        <f t="shared" si="9"/>
        <v>4718</v>
      </c>
    </row>
    <row r="194" spans="1:12" hidden="1" outlineLevel="1" x14ac:dyDescent="0.35">
      <c r="A194" s="37" t="s">
        <v>668</v>
      </c>
      <c r="B194" s="62" t="s">
        <v>669</v>
      </c>
      <c r="C194" s="54" t="s">
        <v>925</v>
      </c>
      <c r="D194" s="85"/>
      <c r="E194" s="63"/>
      <c r="F194" s="83"/>
      <c r="G194" s="64"/>
      <c r="H194" s="85"/>
      <c r="I194" s="64">
        <v>59750</v>
      </c>
      <c r="J194" s="85"/>
      <c r="K194" s="134">
        <f t="shared" si="8"/>
        <v>59750</v>
      </c>
      <c r="L194" s="130">
        <f t="shared" si="9"/>
        <v>59750</v>
      </c>
    </row>
    <row r="195" spans="1:12" hidden="1" outlineLevel="1" x14ac:dyDescent="0.35">
      <c r="A195" s="37" t="s">
        <v>670</v>
      </c>
      <c r="B195" s="62" t="s">
        <v>671</v>
      </c>
      <c r="C195" s="54" t="s">
        <v>925</v>
      </c>
      <c r="D195" s="85"/>
      <c r="E195" s="63"/>
      <c r="F195" s="83"/>
      <c r="G195" s="64"/>
      <c r="H195" s="85"/>
      <c r="I195" s="64"/>
      <c r="J195" s="85"/>
      <c r="K195" s="134">
        <f t="shared" si="8"/>
        <v>0</v>
      </c>
      <c r="L195" s="130">
        <f t="shared" si="9"/>
        <v>0</v>
      </c>
    </row>
    <row r="196" spans="1:12" collapsed="1" x14ac:dyDescent="0.35">
      <c r="A196" s="37"/>
      <c r="B196" s="62" t="s">
        <v>928</v>
      </c>
      <c r="C196" s="54"/>
      <c r="D196" s="85">
        <f>SUM(D197:D201)</f>
        <v>0</v>
      </c>
      <c r="E196" s="65">
        <f t="shared" ref="E196:I196" si="12">SUM(E197:E201)</f>
        <v>0</v>
      </c>
      <c r="F196" s="85">
        <f t="shared" si="12"/>
        <v>60999</v>
      </c>
      <c r="G196" s="65">
        <v>176576</v>
      </c>
      <c r="H196" s="85">
        <f t="shared" si="12"/>
        <v>62476</v>
      </c>
      <c r="I196" s="65">
        <f t="shared" si="12"/>
        <v>0</v>
      </c>
      <c r="J196" s="85"/>
      <c r="K196" s="134">
        <f t="shared" si="8"/>
        <v>0</v>
      </c>
      <c r="L196" s="130">
        <f t="shared" si="9"/>
        <v>300051</v>
      </c>
    </row>
    <row r="197" spans="1:12" hidden="1" outlineLevel="1" x14ac:dyDescent="0.35">
      <c r="A197" s="37" t="s">
        <v>672</v>
      </c>
      <c r="B197" s="62" t="s">
        <v>673</v>
      </c>
      <c r="C197" s="54" t="s">
        <v>928</v>
      </c>
      <c r="D197" s="85"/>
      <c r="E197" s="63"/>
      <c r="F197" s="83"/>
      <c r="G197" s="162">
        <v>71520</v>
      </c>
      <c r="H197" s="85"/>
      <c r="I197" s="64"/>
      <c r="J197" s="85"/>
      <c r="K197" s="134">
        <f t="shared" si="8"/>
        <v>0</v>
      </c>
      <c r="L197" s="130">
        <f t="shared" si="9"/>
        <v>71520</v>
      </c>
    </row>
    <row r="198" spans="1:12" hidden="1" outlineLevel="1" x14ac:dyDescent="0.35">
      <c r="A198" s="37" t="s">
        <v>674</v>
      </c>
      <c r="B198" s="62" t="s">
        <v>46</v>
      </c>
      <c r="C198" s="54" t="s">
        <v>928</v>
      </c>
      <c r="D198" s="85"/>
      <c r="E198" s="63"/>
      <c r="F198" s="83"/>
      <c r="G198" s="64"/>
      <c r="H198" s="85"/>
      <c r="I198" s="64"/>
      <c r="J198" s="85"/>
      <c r="K198" s="134">
        <f t="shared" si="8"/>
        <v>0</v>
      </c>
      <c r="L198" s="130">
        <f t="shared" si="9"/>
        <v>0</v>
      </c>
    </row>
    <row r="199" spans="1:12" hidden="1" outlineLevel="1" x14ac:dyDescent="0.35">
      <c r="A199" s="37" t="s">
        <v>675</v>
      </c>
      <c r="B199" s="62" t="s">
        <v>676</v>
      </c>
      <c r="C199" s="54" t="s">
        <v>928</v>
      </c>
      <c r="D199" s="85"/>
      <c r="E199" s="63"/>
      <c r="F199" s="83">
        <v>60999</v>
      </c>
      <c r="G199" s="162">
        <v>76680</v>
      </c>
      <c r="H199" s="85">
        <v>62476</v>
      </c>
      <c r="I199" s="64"/>
      <c r="J199" s="85"/>
      <c r="K199" s="134">
        <f t="shared" si="8"/>
        <v>0</v>
      </c>
      <c r="L199" s="130">
        <f t="shared" si="9"/>
        <v>200155</v>
      </c>
    </row>
    <row r="200" spans="1:12" hidden="1" outlineLevel="1" x14ac:dyDescent="0.35">
      <c r="A200" s="37" t="s">
        <v>677</v>
      </c>
      <c r="B200" s="62" t="s">
        <v>678</v>
      </c>
      <c r="C200" s="54" t="s">
        <v>928</v>
      </c>
      <c r="D200" s="85"/>
      <c r="E200" s="63"/>
      <c r="F200" s="83"/>
      <c r="G200" s="64"/>
      <c r="H200" s="85"/>
      <c r="I200" s="64"/>
      <c r="J200" s="85"/>
      <c r="K200" s="134">
        <f t="shared" si="8"/>
        <v>0</v>
      </c>
      <c r="L200" s="130">
        <f t="shared" si="9"/>
        <v>0</v>
      </c>
    </row>
    <row r="201" spans="1:12" collapsed="1" x14ac:dyDescent="0.35">
      <c r="A201" s="37" t="s">
        <v>679</v>
      </c>
      <c r="B201" s="62" t="s">
        <v>680</v>
      </c>
      <c r="C201" s="54" t="s">
        <v>929</v>
      </c>
      <c r="D201" s="85"/>
      <c r="E201" s="63"/>
      <c r="F201" s="83"/>
      <c r="G201" s="64"/>
      <c r="H201" s="85"/>
      <c r="I201" s="64"/>
      <c r="J201" s="85"/>
      <c r="K201" s="134">
        <f t="shared" si="8"/>
        <v>0</v>
      </c>
      <c r="L201" s="130">
        <f t="shared" si="9"/>
        <v>0</v>
      </c>
    </row>
    <row r="202" spans="1:12" s="24" customFormat="1" collapsed="1" x14ac:dyDescent="0.35">
      <c r="A202" s="48"/>
      <c r="B202" s="69" t="s">
        <v>930</v>
      </c>
      <c r="C202" s="79"/>
      <c r="D202" s="89">
        <f>SUM(D203:D280)</f>
        <v>1454797</v>
      </c>
      <c r="E202" s="80">
        <f t="shared" ref="E202:I202" si="13">SUM(E203:E280)</f>
        <v>521105</v>
      </c>
      <c r="F202" s="89">
        <f>SUM(F203:F281)</f>
        <v>2474409</v>
      </c>
      <c r="G202" s="80">
        <f>SUM(G203:G281)</f>
        <v>2193016</v>
      </c>
      <c r="H202" s="89">
        <f>SUM(H203:H281)</f>
        <v>2571138</v>
      </c>
      <c r="I202" s="80">
        <f t="shared" si="13"/>
        <v>179267</v>
      </c>
      <c r="J202" s="134">
        <f>J281</f>
        <v>385180</v>
      </c>
      <c r="K202" s="134">
        <f>I202+J202</f>
        <v>564447</v>
      </c>
      <c r="L202" s="130">
        <f t="shared" ref="L202:L265" si="14">K202+D202+E202+F202+G202+H202</f>
        <v>9778912</v>
      </c>
    </row>
    <row r="203" spans="1:12" hidden="1" outlineLevel="1" x14ac:dyDescent="0.35">
      <c r="A203" s="37" t="s">
        <v>681</v>
      </c>
      <c r="B203" s="62" t="s">
        <v>682</v>
      </c>
      <c r="C203" s="54" t="s">
        <v>930</v>
      </c>
      <c r="D203" s="85"/>
      <c r="E203" s="63"/>
      <c r="F203" s="83"/>
      <c r="G203" s="64">
        <v>3774</v>
      </c>
      <c r="H203" s="85"/>
      <c r="I203" s="64"/>
      <c r="J203" s="134"/>
      <c r="K203" s="134">
        <f t="shared" ref="K203:K266" si="15">I203+J203</f>
        <v>0</v>
      </c>
      <c r="L203" s="130">
        <f t="shared" si="14"/>
        <v>3774</v>
      </c>
    </row>
    <row r="204" spans="1:12" hidden="1" outlineLevel="1" x14ac:dyDescent="0.35">
      <c r="A204" s="37" t="s">
        <v>683</v>
      </c>
      <c r="B204" s="62" t="s">
        <v>684</v>
      </c>
      <c r="C204" s="54" t="s">
        <v>930</v>
      </c>
      <c r="D204" s="85"/>
      <c r="E204" s="63"/>
      <c r="F204" s="83"/>
      <c r="G204" s="64"/>
      <c r="H204" s="85"/>
      <c r="I204" s="64"/>
      <c r="J204" s="134"/>
      <c r="K204" s="134">
        <f t="shared" si="15"/>
        <v>0</v>
      </c>
      <c r="L204" s="130">
        <f t="shared" si="14"/>
        <v>0</v>
      </c>
    </row>
    <row r="205" spans="1:12" hidden="1" outlineLevel="1" x14ac:dyDescent="0.35">
      <c r="A205" s="37" t="s">
        <v>685</v>
      </c>
      <c r="B205" s="62" t="s">
        <v>686</v>
      </c>
      <c r="C205" s="54" t="s">
        <v>930</v>
      </c>
      <c r="D205" s="85"/>
      <c r="E205" s="63"/>
      <c r="F205" s="83"/>
      <c r="G205" s="64"/>
      <c r="H205" s="85"/>
      <c r="I205" s="64"/>
      <c r="J205" s="134"/>
      <c r="K205" s="134">
        <f t="shared" si="15"/>
        <v>0</v>
      </c>
      <c r="L205" s="130">
        <f t="shared" si="14"/>
        <v>0</v>
      </c>
    </row>
    <row r="206" spans="1:12" hidden="1" outlineLevel="1" x14ac:dyDescent="0.35">
      <c r="A206" s="37" t="s">
        <v>687</v>
      </c>
      <c r="B206" s="62" t="s">
        <v>688</v>
      </c>
      <c r="C206" s="54" t="s">
        <v>930</v>
      </c>
      <c r="D206" s="85"/>
      <c r="E206" s="63"/>
      <c r="F206" s="83"/>
      <c r="G206" s="64"/>
      <c r="H206" s="85"/>
      <c r="I206" s="64"/>
      <c r="J206" s="134"/>
      <c r="K206" s="134">
        <f t="shared" si="15"/>
        <v>0</v>
      </c>
      <c r="L206" s="130">
        <f t="shared" si="14"/>
        <v>0</v>
      </c>
    </row>
    <row r="207" spans="1:12" hidden="1" outlineLevel="1" x14ac:dyDescent="0.35">
      <c r="A207" s="37" t="s">
        <v>689</v>
      </c>
      <c r="B207" s="62" t="s">
        <v>690</v>
      </c>
      <c r="C207" s="54" t="s">
        <v>930</v>
      </c>
      <c r="D207" s="85"/>
      <c r="E207" s="63"/>
      <c r="F207" s="83"/>
      <c r="G207" s="64"/>
      <c r="H207" s="85">
        <v>10200</v>
      </c>
      <c r="I207" s="64"/>
      <c r="J207" s="134"/>
      <c r="K207" s="134">
        <f t="shared" si="15"/>
        <v>0</v>
      </c>
      <c r="L207" s="130">
        <f t="shared" si="14"/>
        <v>10200</v>
      </c>
    </row>
    <row r="208" spans="1:12" hidden="1" outlineLevel="1" x14ac:dyDescent="0.35">
      <c r="A208" s="37" t="s">
        <v>691</v>
      </c>
      <c r="B208" s="62" t="s">
        <v>692</v>
      </c>
      <c r="C208" s="54" t="s">
        <v>930</v>
      </c>
      <c r="D208" s="85"/>
      <c r="E208" s="63"/>
      <c r="F208" s="83">
        <v>219081</v>
      </c>
      <c r="G208" s="162">
        <v>66578</v>
      </c>
      <c r="H208" s="85">
        <v>99521</v>
      </c>
      <c r="I208" s="64">
        <v>25060</v>
      </c>
      <c r="J208" s="134"/>
      <c r="K208" s="134">
        <f t="shared" si="15"/>
        <v>25060</v>
      </c>
      <c r="L208" s="130">
        <f t="shared" si="14"/>
        <v>410240</v>
      </c>
    </row>
    <row r="209" spans="1:12" hidden="1" outlineLevel="1" x14ac:dyDescent="0.35">
      <c r="A209" s="37" t="s">
        <v>693</v>
      </c>
      <c r="B209" s="62" t="s">
        <v>694</v>
      </c>
      <c r="C209" s="54" t="s">
        <v>930</v>
      </c>
      <c r="D209" s="85"/>
      <c r="E209" s="63"/>
      <c r="F209" s="83">
        <v>16495</v>
      </c>
      <c r="G209" s="162">
        <v>5834</v>
      </c>
      <c r="H209" s="85">
        <v>7054</v>
      </c>
      <c r="I209" s="64"/>
      <c r="J209" s="134"/>
      <c r="K209" s="134">
        <f t="shared" si="15"/>
        <v>0</v>
      </c>
      <c r="L209" s="130">
        <f t="shared" si="14"/>
        <v>29383</v>
      </c>
    </row>
    <row r="210" spans="1:12" hidden="1" outlineLevel="1" x14ac:dyDescent="0.35">
      <c r="A210" s="37" t="s">
        <v>695</v>
      </c>
      <c r="B210" s="62" t="s">
        <v>696</v>
      </c>
      <c r="C210" s="54" t="s">
        <v>930</v>
      </c>
      <c r="D210" s="85">
        <v>6556</v>
      </c>
      <c r="E210" s="63">
        <v>13208</v>
      </c>
      <c r="F210" s="83"/>
      <c r="G210" s="162">
        <v>7808</v>
      </c>
      <c r="H210" s="85"/>
      <c r="I210" s="64"/>
      <c r="J210" s="134"/>
      <c r="K210" s="134">
        <f t="shared" si="15"/>
        <v>0</v>
      </c>
      <c r="L210" s="130">
        <f t="shared" si="14"/>
        <v>27572</v>
      </c>
    </row>
    <row r="211" spans="1:12" hidden="1" outlineLevel="1" x14ac:dyDescent="0.35">
      <c r="A211" s="37" t="s">
        <v>697</v>
      </c>
      <c r="B211" s="62" t="s">
        <v>698</v>
      </c>
      <c r="C211" s="54" t="s">
        <v>930</v>
      </c>
      <c r="D211" s="85">
        <v>17127</v>
      </c>
      <c r="E211" s="75">
        <v>33576</v>
      </c>
      <c r="F211" s="83">
        <v>42889</v>
      </c>
      <c r="G211" s="162">
        <v>91919</v>
      </c>
      <c r="H211" s="89">
        <v>86265</v>
      </c>
      <c r="I211" s="213"/>
      <c r="J211" s="134"/>
      <c r="K211" s="134">
        <f t="shared" si="15"/>
        <v>0</v>
      </c>
      <c r="L211" s="130">
        <f t="shared" si="14"/>
        <v>271776</v>
      </c>
    </row>
    <row r="212" spans="1:12" hidden="1" outlineLevel="1" x14ac:dyDescent="0.35">
      <c r="A212" s="37" t="s">
        <v>699</v>
      </c>
      <c r="B212" s="62" t="s">
        <v>700</v>
      </c>
      <c r="C212" s="54" t="s">
        <v>930</v>
      </c>
      <c r="D212" s="83">
        <v>840</v>
      </c>
      <c r="E212" s="63"/>
      <c r="F212" s="83"/>
      <c r="G212" s="162">
        <v>977</v>
      </c>
      <c r="H212" s="85">
        <v>36305</v>
      </c>
      <c r="I212" s="64"/>
      <c r="J212" s="134"/>
      <c r="K212" s="134">
        <f t="shared" si="15"/>
        <v>0</v>
      </c>
      <c r="L212" s="130">
        <f t="shared" si="14"/>
        <v>38122</v>
      </c>
    </row>
    <row r="213" spans="1:12" hidden="1" outlineLevel="1" x14ac:dyDescent="0.35">
      <c r="A213" s="37" t="s">
        <v>701</v>
      </c>
      <c r="B213" s="62" t="s">
        <v>702</v>
      </c>
      <c r="C213" s="54" t="s">
        <v>930</v>
      </c>
      <c r="D213" s="85"/>
      <c r="E213" s="63"/>
      <c r="F213" s="83"/>
      <c r="G213" s="162">
        <v>1604</v>
      </c>
      <c r="H213" s="85"/>
      <c r="I213" s="64"/>
      <c r="J213" s="134"/>
      <c r="K213" s="134">
        <f t="shared" si="15"/>
        <v>0</v>
      </c>
      <c r="L213" s="130">
        <f t="shared" si="14"/>
        <v>1604</v>
      </c>
    </row>
    <row r="214" spans="1:12" hidden="1" outlineLevel="1" x14ac:dyDescent="0.35">
      <c r="A214" s="37" t="s">
        <v>703</v>
      </c>
      <c r="B214" s="62" t="s">
        <v>704</v>
      </c>
      <c r="C214" s="54" t="s">
        <v>930</v>
      </c>
      <c r="D214" s="85"/>
      <c r="E214" s="63"/>
      <c r="F214" s="83">
        <v>5340</v>
      </c>
      <c r="G214" s="64"/>
      <c r="H214" s="85"/>
      <c r="I214" s="64"/>
      <c r="J214" s="134"/>
      <c r="K214" s="134">
        <f t="shared" si="15"/>
        <v>0</v>
      </c>
      <c r="L214" s="130">
        <f t="shared" si="14"/>
        <v>5340</v>
      </c>
    </row>
    <row r="215" spans="1:12" hidden="1" outlineLevel="1" x14ac:dyDescent="0.35">
      <c r="A215" s="37" t="s">
        <v>705</v>
      </c>
      <c r="B215" s="62" t="s">
        <v>706</v>
      </c>
      <c r="C215" s="54" t="s">
        <v>930</v>
      </c>
      <c r="D215" s="85"/>
      <c r="E215" s="63"/>
      <c r="F215" s="83"/>
      <c r="G215" s="162">
        <v>391273</v>
      </c>
      <c r="H215" s="85"/>
      <c r="I215" s="64"/>
      <c r="J215" s="134"/>
      <c r="K215" s="134">
        <f t="shared" si="15"/>
        <v>0</v>
      </c>
      <c r="L215" s="130">
        <f t="shared" si="14"/>
        <v>391273</v>
      </c>
    </row>
    <row r="216" spans="1:12" hidden="1" outlineLevel="1" x14ac:dyDescent="0.35">
      <c r="A216" s="37" t="s">
        <v>707</v>
      </c>
      <c r="B216" s="62" t="s">
        <v>708</v>
      </c>
      <c r="C216" s="54" t="s">
        <v>930</v>
      </c>
      <c r="D216" s="85"/>
      <c r="E216" s="63"/>
      <c r="F216" s="83"/>
      <c r="G216" s="64">
        <v>700</v>
      </c>
      <c r="H216" s="85"/>
      <c r="I216" s="64"/>
      <c r="J216" s="134"/>
      <c r="K216" s="134">
        <f t="shared" si="15"/>
        <v>0</v>
      </c>
      <c r="L216" s="130">
        <f t="shared" si="14"/>
        <v>700</v>
      </c>
    </row>
    <row r="217" spans="1:12" hidden="1" outlineLevel="1" x14ac:dyDescent="0.35">
      <c r="A217" s="37" t="s">
        <v>709</v>
      </c>
      <c r="B217" s="62" t="s">
        <v>710</v>
      </c>
      <c r="C217" s="54" t="s">
        <v>930</v>
      </c>
      <c r="D217" s="85"/>
      <c r="E217" s="63"/>
      <c r="F217" s="83"/>
      <c r="G217" s="64"/>
      <c r="H217" s="85"/>
      <c r="I217" s="64"/>
      <c r="J217" s="134"/>
      <c r="K217" s="134">
        <f t="shared" si="15"/>
        <v>0</v>
      </c>
      <c r="L217" s="130">
        <f t="shared" si="14"/>
        <v>0</v>
      </c>
    </row>
    <row r="218" spans="1:12" hidden="1" outlineLevel="1" x14ac:dyDescent="0.35">
      <c r="A218" s="37" t="s">
        <v>711</v>
      </c>
      <c r="B218" s="62" t="s">
        <v>712</v>
      </c>
      <c r="C218" s="54" t="s">
        <v>930</v>
      </c>
      <c r="D218" s="85"/>
      <c r="E218" s="63"/>
      <c r="F218" s="83"/>
      <c r="G218" s="162">
        <v>5309</v>
      </c>
      <c r="H218" s="85">
        <v>86530</v>
      </c>
      <c r="I218" s="64">
        <v>855</v>
      </c>
      <c r="J218" s="134"/>
      <c r="K218" s="134">
        <f t="shared" si="15"/>
        <v>855</v>
      </c>
      <c r="L218" s="130">
        <f t="shared" si="14"/>
        <v>92694</v>
      </c>
    </row>
    <row r="219" spans="1:12" hidden="1" outlineLevel="1" x14ac:dyDescent="0.35">
      <c r="A219" s="37" t="s">
        <v>713</v>
      </c>
      <c r="B219" s="62" t="s">
        <v>714</v>
      </c>
      <c r="C219" s="54" t="s">
        <v>930</v>
      </c>
      <c r="D219" s="85"/>
      <c r="E219" s="63"/>
      <c r="F219" s="83"/>
      <c r="G219" s="162">
        <v>14387</v>
      </c>
      <c r="H219" s="85"/>
      <c r="I219" s="64"/>
      <c r="J219" s="134"/>
      <c r="K219" s="134">
        <f t="shared" si="15"/>
        <v>0</v>
      </c>
      <c r="L219" s="130">
        <f t="shared" si="14"/>
        <v>14387</v>
      </c>
    </row>
    <row r="220" spans="1:12" hidden="1" outlineLevel="1" x14ac:dyDescent="0.35">
      <c r="A220" s="37" t="s">
        <v>715</v>
      </c>
      <c r="B220" s="62" t="s">
        <v>716</v>
      </c>
      <c r="C220" s="54" t="s">
        <v>930</v>
      </c>
      <c r="D220" s="85"/>
      <c r="E220" s="63"/>
      <c r="F220" s="83"/>
      <c r="G220" s="64"/>
      <c r="H220" s="85"/>
      <c r="I220" s="64">
        <v>12496</v>
      </c>
      <c r="J220" s="134"/>
      <c r="K220" s="134">
        <f t="shared" si="15"/>
        <v>12496</v>
      </c>
      <c r="L220" s="130">
        <f t="shared" si="14"/>
        <v>12496</v>
      </c>
    </row>
    <row r="221" spans="1:12" hidden="1" outlineLevel="1" x14ac:dyDescent="0.35">
      <c r="A221" s="37" t="s">
        <v>717</v>
      </c>
      <c r="B221" s="62" t="s">
        <v>718</v>
      </c>
      <c r="C221" s="54" t="s">
        <v>930</v>
      </c>
      <c r="D221" s="85"/>
      <c r="E221" s="63"/>
      <c r="F221" s="83"/>
      <c r="G221" s="64"/>
      <c r="H221" s="85"/>
      <c r="I221" s="64"/>
      <c r="J221" s="134"/>
      <c r="K221" s="134">
        <f t="shared" si="15"/>
        <v>0</v>
      </c>
      <c r="L221" s="130">
        <f t="shared" si="14"/>
        <v>0</v>
      </c>
    </row>
    <row r="222" spans="1:12" hidden="1" outlineLevel="1" x14ac:dyDescent="0.35">
      <c r="A222" s="37" t="s">
        <v>719</v>
      </c>
      <c r="B222" s="62" t="s">
        <v>720</v>
      </c>
      <c r="C222" s="54" t="s">
        <v>930</v>
      </c>
      <c r="D222" s="85">
        <v>67534</v>
      </c>
      <c r="E222" s="63">
        <v>18217</v>
      </c>
      <c r="F222" s="83"/>
      <c r="G222" s="162">
        <v>47683</v>
      </c>
      <c r="H222" s="85">
        <v>26303</v>
      </c>
      <c r="I222" s="64"/>
      <c r="J222" s="134"/>
      <c r="K222" s="134">
        <f t="shared" si="15"/>
        <v>0</v>
      </c>
      <c r="L222" s="130">
        <f t="shared" si="14"/>
        <v>159737</v>
      </c>
    </row>
    <row r="223" spans="1:12" hidden="1" outlineLevel="1" x14ac:dyDescent="0.35">
      <c r="A223" s="37" t="s">
        <v>721</v>
      </c>
      <c r="B223" s="62" t="s">
        <v>722</v>
      </c>
      <c r="C223" s="54" t="s">
        <v>930</v>
      </c>
      <c r="D223" s="85">
        <v>39351</v>
      </c>
      <c r="E223" s="63">
        <v>83596</v>
      </c>
      <c r="F223" s="83">
        <v>129053</v>
      </c>
      <c r="G223" s="162">
        <v>215123</v>
      </c>
      <c r="H223" s="85">
        <v>272224</v>
      </c>
      <c r="I223" s="64"/>
      <c r="J223" s="134"/>
      <c r="K223" s="134">
        <f t="shared" si="15"/>
        <v>0</v>
      </c>
      <c r="L223" s="130">
        <f>K223+D223+E223+F223+G223+H223</f>
        <v>739347</v>
      </c>
    </row>
    <row r="224" spans="1:12" hidden="1" outlineLevel="1" x14ac:dyDescent="0.35">
      <c r="A224" s="37" t="s">
        <v>723</v>
      </c>
      <c r="B224" s="62" t="s">
        <v>724</v>
      </c>
      <c r="C224" s="54" t="s">
        <v>930</v>
      </c>
      <c r="D224" s="85">
        <v>3368</v>
      </c>
      <c r="E224" s="63">
        <v>164799</v>
      </c>
      <c r="F224" s="83">
        <v>391473</v>
      </c>
      <c r="G224" s="162">
        <v>128363</v>
      </c>
      <c r="H224" s="85">
        <v>57576</v>
      </c>
      <c r="I224" s="64">
        <v>3050</v>
      </c>
      <c r="J224" s="134"/>
      <c r="K224" s="134">
        <f t="shared" si="15"/>
        <v>3050</v>
      </c>
      <c r="L224" s="130">
        <f t="shared" si="14"/>
        <v>748629</v>
      </c>
    </row>
    <row r="225" spans="1:12" hidden="1" outlineLevel="1" x14ac:dyDescent="0.35">
      <c r="A225" s="37" t="s">
        <v>725</v>
      </c>
      <c r="B225" s="62" t="s">
        <v>726</v>
      </c>
      <c r="C225" s="54" t="s">
        <v>930</v>
      </c>
      <c r="D225" s="85"/>
      <c r="E225" s="63"/>
      <c r="F225" s="83"/>
      <c r="G225" s="162">
        <v>8853</v>
      </c>
      <c r="H225" s="85"/>
      <c r="I225" s="64">
        <v>7160</v>
      </c>
      <c r="J225" s="134"/>
      <c r="K225" s="134">
        <f t="shared" si="15"/>
        <v>7160</v>
      </c>
      <c r="L225" s="130">
        <f t="shared" si="14"/>
        <v>16013</v>
      </c>
    </row>
    <row r="226" spans="1:12" hidden="1" outlineLevel="1" x14ac:dyDescent="0.35">
      <c r="A226" s="37" t="s">
        <v>727</v>
      </c>
      <c r="B226" s="62" t="s">
        <v>728</v>
      </c>
      <c r="C226" s="54" t="s">
        <v>930</v>
      </c>
      <c r="D226" s="85"/>
      <c r="E226" s="63"/>
      <c r="F226" s="83"/>
      <c r="G226" s="64">
        <v>165</v>
      </c>
      <c r="H226" s="85"/>
      <c r="I226" s="64"/>
      <c r="J226" s="134"/>
      <c r="K226" s="134">
        <f t="shared" si="15"/>
        <v>0</v>
      </c>
      <c r="L226" s="130">
        <f t="shared" si="14"/>
        <v>165</v>
      </c>
    </row>
    <row r="227" spans="1:12" hidden="1" outlineLevel="1" x14ac:dyDescent="0.35">
      <c r="A227" s="37" t="s">
        <v>729</v>
      </c>
      <c r="B227" s="62" t="s">
        <v>730</v>
      </c>
      <c r="C227" s="54" t="s">
        <v>930</v>
      </c>
      <c r="D227" s="85"/>
      <c r="E227" s="63"/>
      <c r="F227" s="83"/>
      <c r="G227" s="64"/>
      <c r="H227" s="85"/>
      <c r="I227" s="64"/>
      <c r="J227" s="134"/>
      <c r="K227" s="134">
        <f t="shared" si="15"/>
        <v>0</v>
      </c>
      <c r="L227" s="130">
        <f t="shared" si="14"/>
        <v>0</v>
      </c>
    </row>
    <row r="228" spans="1:12" hidden="1" outlineLevel="1" x14ac:dyDescent="0.35">
      <c r="A228" s="37" t="s">
        <v>731</v>
      </c>
      <c r="B228" s="62" t="s">
        <v>732</v>
      </c>
      <c r="C228" s="54" t="s">
        <v>930</v>
      </c>
      <c r="D228" s="85">
        <v>374</v>
      </c>
      <c r="E228" s="63"/>
      <c r="F228" s="83"/>
      <c r="G228" s="162">
        <v>40576</v>
      </c>
      <c r="H228" s="85">
        <v>5327</v>
      </c>
      <c r="I228" s="64">
        <v>192</v>
      </c>
      <c r="J228" s="134"/>
      <c r="K228" s="134">
        <f t="shared" si="15"/>
        <v>192</v>
      </c>
      <c r="L228" s="130">
        <f t="shared" si="14"/>
        <v>46469</v>
      </c>
    </row>
    <row r="229" spans="1:12" hidden="1" outlineLevel="1" x14ac:dyDescent="0.35">
      <c r="A229" s="37" t="s">
        <v>733</v>
      </c>
      <c r="B229" s="62" t="s">
        <v>734</v>
      </c>
      <c r="C229" s="54" t="s">
        <v>930</v>
      </c>
      <c r="D229" s="85"/>
      <c r="E229" s="63">
        <v>38861</v>
      </c>
      <c r="F229" s="83"/>
      <c r="G229" s="162">
        <v>50454</v>
      </c>
      <c r="H229" s="85"/>
      <c r="I229" s="64"/>
      <c r="J229" s="134"/>
      <c r="K229" s="134">
        <f t="shared" si="15"/>
        <v>0</v>
      </c>
      <c r="L229" s="130">
        <f t="shared" si="14"/>
        <v>89315</v>
      </c>
    </row>
    <row r="230" spans="1:12" hidden="1" outlineLevel="1" x14ac:dyDescent="0.35">
      <c r="A230" s="37" t="s">
        <v>735</v>
      </c>
      <c r="B230" s="62" t="s">
        <v>736</v>
      </c>
      <c r="C230" s="54" t="s">
        <v>930</v>
      </c>
      <c r="D230" s="85">
        <v>1418</v>
      </c>
      <c r="E230" s="63">
        <v>35453</v>
      </c>
      <c r="F230" s="83">
        <v>585865</v>
      </c>
      <c r="G230" s="162">
        <v>420855</v>
      </c>
      <c r="H230" s="85">
        <v>405242</v>
      </c>
      <c r="I230" s="64"/>
      <c r="J230" s="134"/>
      <c r="K230" s="134">
        <f t="shared" si="15"/>
        <v>0</v>
      </c>
      <c r="L230" s="130">
        <f t="shared" si="14"/>
        <v>1448833</v>
      </c>
    </row>
    <row r="231" spans="1:12" hidden="1" outlineLevel="1" x14ac:dyDescent="0.35">
      <c r="A231" s="37" t="s">
        <v>737</v>
      </c>
      <c r="B231" s="62" t="s">
        <v>738</v>
      </c>
      <c r="C231" s="54" t="s">
        <v>930</v>
      </c>
      <c r="D231" s="85"/>
      <c r="E231" s="63"/>
      <c r="F231" s="83"/>
      <c r="G231" s="162">
        <v>85847</v>
      </c>
      <c r="H231" s="85"/>
      <c r="I231" s="64"/>
      <c r="J231" s="134"/>
      <c r="K231" s="134">
        <f t="shared" si="15"/>
        <v>0</v>
      </c>
      <c r="L231" s="130">
        <f t="shared" si="14"/>
        <v>85847</v>
      </c>
    </row>
    <row r="232" spans="1:12" hidden="1" outlineLevel="1" x14ac:dyDescent="0.35">
      <c r="A232" s="37" t="s">
        <v>739</v>
      </c>
      <c r="B232" s="62" t="s">
        <v>740</v>
      </c>
      <c r="C232" s="54" t="s">
        <v>930</v>
      </c>
      <c r="D232" s="85">
        <v>1262833</v>
      </c>
      <c r="E232" s="63"/>
      <c r="F232" s="83"/>
      <c r="G232" s="64">
        <v>7856</v>
      </c>
      <c r="H232" s="85">
        <v>733548</v>
      </c>
      <c r="I232" s="64"/>
      <c r="J232" s="134"/>
      <c r="K232" s="134">
        <f t="shared" si="15"/>
        <v>0</v>
      </c>
      <c r="L232" s="130">
        <f t="shared" si="14"/>
        <v>2004237</v>
      </c>
    </row>
    <row r="233" spans="1:12" hidden="1" outlineLevel="1" x14ac:dyDescent="0.35">
      <c r="A233" s="37" t="s">
        <v>741</v>
      </c>
      <c r="B233" s="62" t="s">
        <v>742</v>
      </c>
      <c r="C233" s="54" t="s">
        <v>930</v>
      </c>
      <c r="D233" s="85">
        <v>381</v>
      </c>
      <c r="E233" s="63"/>
      <c r="F233" s="83"/>
      <c r="G233" s="64">
        <v>30205</v>
      </c>
      <c r="H233" s="85">
        <v>142733</v>
      </c>
      <c r="I233" s="64"/>
      <c r="J233" s="134"/>
      <c r="K233" s="134">
        <f t="shared" si="15"/>
        <v>0</v>
      </c>
      <c r="L233" s="130">
        <f t="shared" si="14"/>
        <v>173319</v>
      </c>
    </row>
    <row r="234" spans="1:12" hidden="1" outlineLevel="1" x14ac:dyDescent="0.35">
      <c r="A234" s="37" t="s">
        <v>743</v>
      </c>
      <c r="B234" s="62" t="s">
        <v>744</v>
      </c>
      <c r="C234" s="54" t="s">
        <v>930</v>
      </c>
      <c r="D234" s="85"/>
      <c r="E234" s="63"/>
      <c r="F234" s="83"/>
      <c r="G234" s="64"/>
      <c r="H234" s="85"/>
      <c r="I234" s="64">
        <v>1167</v>
      </c>
      <c r="J234" s="134"/>
      <c r="K234" s="134">
        <f t="shared" si="15"/>
        <v>1167</v>
      </c>
      <c r="L234" s="130">
        <f t="shared" si="14"/>
        <v>1167</v>
      </c>
    </row>
    <row r="235" spans="1:12" hidden="1" outlineLevel="1" x14ac:dyDescent="0.35">
      <c r="A235" s="37" t="s">
        <v>745</v>
      </c>
      <c r="B235" s="62" t="s">
        <v>746</v>
      </c>
      <c r="C235" s="54" t="s">
        <v>930</v>
      </c>
      <c r="D235" s="85"/>
      <c r="E235" s="63"/>
      <c r="F235" s="83">
        <v>169917</v>
      </c>
      <c r="G235" s="162">
        <v>153950</v>
      </c>
      <c r="H235" s="85">
        <v>160538</v>
      </c>
      <c r="I235" s="64">
        <v>35465</v>
      </c>
      <c r="J235" s="134"/>
      <c r="K235" s="134">
        <f t="shared" si="15"/>
        <v>35465</v>
      </c>
      <c r="L235" s="130">
        <f t="shared" si="14"/>
        <v>519870</v>
      </c>
    </row>
    <row r="236" spans="1:12" hidden="1" outlineLevel="1" x14ac:dyDescent="0.35">
      <c r="A236" s="37" t="s">
        <v>747</v>
      </c>
      <c r="B236" s="62" t="s">
        <v>748</v>
      </c>
      <c r="C236" s="54" t="s">
        <v>930</v>
      </c>
      <c r="D236" s="85">
        <v>2585</v>
      </c>
      <c r="E236" s="63">
        <v>8398</v>
      </c>
      <c r="F236" s="83"/>
      <c r="G236" s="162">
        <v>20485</v>
      </c>
      <c r="H236" s="85"/>
      <c r="I236" s="64">
        <v>2350</v>
      </c>
      <c r="J236" s="134"/>
      <c r="K236" s="134">
        <f t="shared" si="15"/>
        <v>2350</v>
      </c>
      <c r="L236" s="130">
        <f t="shared" si="14"/>
        <v>33818</v>
      </c>
    </row>
    <row r="237" spans="1:12" hidden="1" outlineLevel="1" x14ac:dyDescent="0.35">
      <c r="A237" s="37" t="s">
        <v>749</v>
      </c>
      <c r="B237" s="62" t="s">
        <v>750</v>
      </c>
      <c r="C237" s="54" t="s">
        <v>930</v>
      </c>
      <c r="D237" s="85"/>
      <c r="E237" s="63"/>
      <c r="F237" s="83"/>
      <c r="G237" s="64">
        <v>27989</v>
      </c>
      <c r="H237" s="85"/>
      <c r="I237" s="64"/>
      <c r="J237" s="134"/>
      <c r="K237" s="134">
        <f t="shared" si="15"/>
        <v>0</v>
      </c>
      <c r="L237" s="130">
        <f t="shared" si="14"/>
        <v>27989</v>
      </c>
    </row>
    <row r="238" spans="1:12" hidden="1" outlineLevel="1" x14ac:dyDescent="0.35">
      <c r="A238" s="37" t="s">
        <v>751</v>
      </c>
      <c r="B238" s="62" t="s">
        <v>752</v>
      </c>
      <c r="C238" s="54" t="s">
        <v>930</v>
      </c>
      <c r="D238" s="85"/>
      <c r="E238" s="63"/>
      <c r="F238" s="83"/>
      <c r="G238" s="64">
        <v>5417</v>
      </c>
      <c r="H238" s="85"/>
      <c r="I238" s="64"/>
      <c r="J238" s="134"/>
      <c r="K238" s="134">
        <f t="shared" si="15"/>
        <v>0</v>
      </c>
      <c r="L238" s="130">
        <f t="shared" si="14"/>
        <v>5417</v>
      </c>
    </row>
    <row r="239" spans="1:12" hidden="1" outlineLevel="1" x14ac:dyDescent="0.35">
      <c r="A239" s="37" t="s">
        <v>753</v>
      </c>
      <c r="B239" s="62" t="s">
        <v>754</v>
      </c>
      <c r="C239" s="54" t="s">
        <v>930</v>
      </c>
      <c r="D239" s="85"/>
      <c r="E239" s="63"/>
      <c r="F239" s="83"/>
      <c r="G239" s="162">
        <v>11671</v>
      </c>
      <c r="H239" s="85">
        <v>13863</v>
      </c>
      <c r="I239" s="64">
        <v>10000</v>
      </c>
      <c r="J239" s="134"/>
      <c r="K239" s="134">
        <f t="shared" si="15"/>
        <v>10000</v>
      </c>
      <c r="L239" s="130">
        <f t="shared" si="14"/>
        <v>35534</v>
      </c>
    </row>
    <row r="240" spans="1:12" hidden="1" outlineLevel="1" x14ac:dyDescent="0.35">
      <c r="A240" s="37" t="s">
        <v>755</v>
      </c>
      <c r="B240" s="62" t="s">
        <v>756</v>
      </c>
      <c r="C240" s="54" t="s">
        <v>930</v>
      </c>
      <c r="D240" s="85">
        <v>4279</v>
      </c>
      <c r="E240" s="63">
        <v>6922</v>
      </c>
      <c r="F240" s="83">
        <v>6404</v>
      </c>
      <c r="G240" s="162">
        <v>3496</v>
      </c>
      <c r="H240" s="85">
        <v>8335</v>
      </c>
      <c r="I240" s="64">
        <v>85</v>
      </c>
      <c r="J240" s="134"/>
      <c r="K240" s="134">
        <f t="shared" si="15"/>
        <v>85</v>
      </c>
      <c r="L240" s="130">
        <f t="shared" si="14"/>
        <v>29521</v>
      </c>
    </row>
    <row r="241" spans="1:12" hidden="1" outlineLevel="1" x14ac:dyDescent="0.35">
      <c r="A241" s="37" t="s">
        <v>757</v>
      </c>
      <c r="B241" s="62" t="s">
        <v>758</v>
      </c>
      <c r="C241" s="54" t="s">
        <v>930</v>
      </c>
      <c r="D241" s="85"/>
      <c r="E241" s="63"/>
      <c r="F241" s="83">
        <v>14354</v>
      </c>
      <c r="G241" s="64">
        <v>288</v>
      </c>
      <c r="H241" s="85"/>
      <c r="I241" s="64"/>
      <c r="J241" s="134"/>
      <c r="K241" s="134">
        <f t="shared" si="15"/>
        <v>0</v>
      </c>
      <c r="L241" s="130">
        <f t="shared" si="14"/>
        <v>14642</v>
      </c>
    </row>
    <row r="242" spans="1:12" hidden="1" outlineLevel="1" x14ac:dyDescent="0.35">
      <c r="A242" s="37" t="s">
        <v>759</v>
      </c>
      <c r="B242" s="62" t="s">
        <v>760</v>
      </c>
      <c r="C242" s="54" t="s">
        <v>930</v>
      </c>
      <c r="D242" s="85"/>
      <c r="E242" s="63">
        <v>648</v>
      </c>
      <c r="F242" s="83"/>
      <c r="G242" s="162">
        <v>38243</v>
      </c>
      <c r="H242" s="211"/>
      <c r="I242" s="64"/>
      <c r="J242" s="134"/>
      <c r="K242" s="134">
        <f t="shared" si="15"/>
        <v>0</v>
      </c>
      <c r="L242" s="130">
        <f t="shared" si="14"/>
        <v>38891</v>
      </c>
    </row>
    <row r="243" spans="1:12" hidden="1" outlineLevel="1" x14ac:dyDescent="0.35">
      <c r="A243" s="37" t="s">
        <v>761</v>
      </c>
      <c r="B243" s="62" t="s">
        <v>762</v>
      </c>
      <c r="C243" s="54" t="s">
        <v>930</v>
      </c>
      <c r="D243" s="85"/>
      <c r="E243" s="63"/>
      <c r="F243" s="83"/>
      <c r="G243" s="64">
        <v>193</v>
      </c>
      <c r="H243" s="85"/>
      <c r="I243" s="64"/>
      <c r="J243" s="134"/>
      <c r="K243" s="134">
        <f t="shared" si="15"/>
        <v>0</v>
      </c>
      <c r="L243" s="130">
        <f t="shared" si="14"/>
        <v>193</v>
      </c>
    </row>
    <row r="244" spans="1:12" hidden="1" outlineLevel="1" x14ac:dyDescent="0.35">
      <c r="A244" s="37" t="s">
        <v>763</v>
      </c>
      <c r="B244" s="62" t="s">
        <v>764</v>
      </c>
      <c r="C244" s="54" t="s">
        <v>930</v>
      </c>
      <c r="D244" s="85"/>
      <c r="E244" s="63">
        <v>16765</v>
      </c>
      <c r="F244" s="83"/>
      <c r="G244" s="162">
        <v>16670</v>
      </c>
      <c r="H244" s="85"/>
      <c r="I244" s="64">
        <v>4197</v>
      </c>
      <c r="J244" s="134"/>
      <c r="K244" s="134">
        <f t="shared" si="15"/>
        <v>4197</v>
      </c>
      <c r="L244" s="130">
        <f t="shared" si="14"/>
        <v>37632</v>
      </c>
    </row>
    <row r="245" spans="1:12" hidden="1" outlineLevel="1" x14ac:dyDescent="0.35">
      <c r="A245" s="37" t="s">
        <v>765</v>
      </c>
      <c r="B245" s="62" t="s">
        <v>766</v>
      </c>
      <c r="C245" s="54" t="s">
        <v>930</v>
      </c>
      <c r="D245" s="85">
        <v>7814</v>
      </c>
      <c r="E245" s="63">
        <v>19294</v>
      </c>
      <c r="F245" s="83">
        <v>86014</v>
      </c>
      <c r="G245" s="162">
        <v>71100</v>
      </c>
      <c r="H245" s="85">
        <v>99242</v>
      </c>
      <c r="I245" s="64">
        <v>952</v>
      </c>
      <c r="J245" s="134"/>
      <c r="K245" s="134">
        <f t="shared" si="15"/>
        <v>952</v>
      </c>
      <c r="L245" s="130">
        <f t="shared" si="14"/>
        <v>284416</v>
      </c>
    </row>
    <row r="246" spans="1:12" hidden="1" outlineLevel="1" x14ac:dyDescent="0.35">
      <c r="A246" s="37" t="s">
        <v>767</v>
      </c>
      <c r="B246" s="62" t="s">
        <v>768</v>
      </c>
      <c r="C246" s="54" t="s">
        <v>930</v>
      </c>
      <c r="D246" s="85"/>
      <c r="E246" s="63">
        <v>3068</v>
      </c>
      <c r="F246" s="83">
        <v>163676</v>
      </c>
      <c r="G246" s="162">
        <v>28169</v>
      </c>
      <c r="H246" s="85">
        <v>7292</v>
      </c>
      <c r="I246" s="64">
        <v>2888</v>
      </c>
      <c r="J246" s="134"/>
      <c r="K246" s="134">
        <f t="shared" si="15"/>
        <v>2888</v>
      </c>
      <c r="L246" s="130">
        <f t="shared" si="14"/>
        <v>205093</v>
      </c>
    </row>
    <row r="247" spans="1:12" hidden="1" outlineLevel="1" x14ac:dyDescent="0.35">
      <c r="A247" s="37" t="s">
        <v>769</v>
      </c>
      <c r="B247" s="62" t="s">
        <v>770</v>
      </c>
      <c r="C247" s="54" t="s">
        <v>930</v>
      </c>
      <c r="D247" s="85"/>
      <c r="E247" s="63"/>
      <c r="F247" s="83">
        <v>63993</v>
      </c>
      <c r="G247" s="64"/>
      <c r="H247" s="85"/>
      <c r="I247" s="64"/>
      <c r="J247" s="134"/>
      <c r="K247" s="134">
        <f t="shared" si="15"/>
        <v>0</v>
      </c>
      <c r="L247" s="130">
        <f t="shared" si="14"/>
        <v>63993</v>
      </c>
    </row>
    <row r="248" spans="1:12" hidden="1" outlineLevel="1" x14ac:dyDescent="0.35">
      <c r="A248" s="37" t="s">
        <v>771</v>
      </c>
      <c r="B248" s="62" t="s">
        <v>772</v>
      </c>
      <c r="C248" s="54" t="s">
        <v>930</v>
      </c>
      <c r="D248" s="85"/>
      <c r="E248" s="63">
        <v>3722</v>
      </c>
      <c r="F248" s="83"/>
      <c r="G248" s="64">
        <v>348</v>
      </c>
      <c r="H248" s="85">
        <v>205</v>
      </c>
      <c r="I248" s="64"/>
      <c r="J248" s="134"/>
      <c r="K248" s="134">
        <f t="shared" si="15"/>
        <v>0</v>
      </c>
      <c r="L248" s="130">
        <f t="shared" si="14"/>
        <v>4275</v>
      </c>
    </row>
    <row r="249" spans="1:12" hidden="1" outlineLevel="1" x14ac:dyDescent="0.35">
      <c r="A249" s="37" t="s">
        <v>773</v>
      </c>
      <c r="B249" s="62" t="s">
        <v>774</v>
      </c>
      <c r="C249" s="54" t="s">
        <v>930</v>
      </c>
      <c r="D249" s="85"/>
      <c r="E249" s="63"/>
      <c r="F249" s="83">
        <v>1346</v>
      </c>
      <c r="G249" s="162">
        <v>6865</v>
      </c>
      <c r="H249" s="85">
        <v>11099</v>
      </c>
      <c r="I249" s="64"/>
      <c r="J249" s="134"/>
      <c r="K249" s="134">
        <f t="shared" si="15"/>
        <v>0</v>
      </c>
      <c r="L249" s="130">
        <f t="shared" si="14"/>
        <v>19310</v>
      </c>
    </row>
    <row r="250" spans="1:12" hidden="1" outlineLevel="1" x14ac:dyDescent="0.35">
      <c r="A250" s="37" t="s">
        <v>775</v>
      </c>
      <c r="B250" s="62" t="s">
        <v>776</v>
      </c>
      <c r="C250" s="54" t="s">
        <v>930</v>
      </c>
      <c r="D250" s="85"/>
      <c r="E250" s="63"/>
      <c r="F250" s="83"/>
      <c r="G250" s="64">
        <v>400</v>
      </c>
      <c r="H250" s="85">
        <v>10271</v>
      </c>
      <c r="I250" s="64"/>
      <c r="J250" s="134"/>
      <c r="K250" s="134">
        <f t="shared" si="15"/>
        <v>0</v>
      </c>
      <c r="L250" s="130">
        <f t="shared" si="14"/>
        <v>10671</v>
      </c>
    </row>
    <row r="251" spans="1:12" hidden="1" outlineLevel="1" x14ac:dyDescent="0.35">
      <c r="A251" s="37" t="s">
        <v>777</v>
      </c>
      <c r="B251" s="62" t="s">
        <v>778</v>
      </c>
      <c r="C251" s="54" t="s">
        <v>930</v>
      </c>
      <c r="D251" s="85"/>
      <c r="E251" s="63"/>
      <c r="F251" s="83"/>
      <c r="G251" s="162">
        <v>11285</v>
      </c>
      <c r="H251" s="85"/>
      <c r="I251" s="64"/>
      <c r="J251" s="134"/>
      <c r="K251" s="134">
        <f t="shared" si="15"/>
        <v>0</v>
      </c>
      <c r="L251" s="130">
        <f t="shared" si="14"/>
        <v>11285</v>
      </c>
    </row>
    <row r="252" spans="1:12" hidden="1" outlineLevel="1" x14ac:dyDescent="0.35">
      <c r="A252" s="37" t="s">
        <v>779</v>
      </c>
      <c r="B252" s="62" t="s">
        <v>780</v>
      </c>
      <c r="C252" s="54" t="s">
        <v>930</v>
      </c>
      <c r="D252" s="85"/>
      <c r="E252" s="63"/>
      <c r="F252" s="83"/>
      <c r="G252" s="64"/>
      <c r="H252" s="85"/>
      <c r="I252" s="64"/>
      <c r="J252" s="134"/>
      <c r="K252" s="134">
        <f t="shared" si="15"/>
        <v>0</v>
      </c>
      <c r="L252" s="130">
        <f t="shared" si="14"/>
        <v>0</v>
      </c>
    </row>
    <row r="253" spans="1:12" hidden="1" outlineLevel="1" x14ac:dyDescent="0.35">
      <c r="A253" s="37" t="s">
        <v>781</v>
      </c>
      <c r="B253" s="62" t="s">
        <v>782</v>
      </c>
      <c r="C253" s="54" t="s">
        <v>930</v>
      </c>
      <c r="D253" s="85"/>
      <c r="E253" s="63"/>
      <c r="F253" s="83"/>
      <c r="G253" s="162">
        <v>20746</v>
      </c>
      <c r="H253" s="85">
        <v>4631</v>
      </c>
      <c r="I253" s="64">
        <v>24109</v>
      </c>
      <c r="J253" s="134"/>
      <c r="K253" s="134">
        <f t="shared" si="15"/>
        <v>24109</v>
      </c>
      <c r="L253" s="130">
        <f t="shared" si="14"/>
        <v>49486</v>
      </c>
    </row>
    <row r="254" spans="1:12" hidden="1" outlineLevel="1" x14ac:dyDescent="0.35">
      <c r="A254" s="37" t="s">
        <v>783</v>
      </c>
      <c r="B254" s="62" t="s">
        <v>784</v>
      </c>
      <c r="C254" s="54" t="s">
        <v>930</v>
      </c>
      <c r="D254" s="85"/>
      <c r="E254" s="63"/>
      <c r="F254" s="83">
        <v>116376</v>
      </c>
      <c r="G254" s="162">
        <v>30667</v>
      </c>
      <c r="H254" s="85">
        <v>51930</v>
      </c>
      <c r="I254" s="64"/>
      <c r="J254" s="134"/>
      <c r="K254" s="134">
        <f t="shared" si="15"/>
        <v>0</v>
      </c>
      <c r="L254" s="130">
        <f t="shared" si="14"/>
        <v>198973</v>
      </c>
    </row>
    <row r="255" spans="1:12" hidden="1" outlineLevel="1" x14ac:dyDescent="0.35">
      <c r="A255" s="37" t="s">
        <v>785</v>
      </c>
      <c r="B255" s="62" t="s">
        <v>786</v>
      </c>
      <c r="C255" s="54" t="s">
        <v>930</v>
      </c>
      <c r="D255" s="85">
        <v>2370</v>
      </c>
      <c r="E255" s="63"/>
      <c r="F255" s="83"/>
      <c r="G255" s="64"/>
      <c r="H255" s="85"/>
      <c r="I255" s="64"/>
      <c r="J255" s="134"/>
      <c r="K255" s="134">
        <f t="shared" si="15"/>
        <v>0</v>
      </c>
      <c r="L255" s="130">
        <f t="shared" si="14"/>
        <v>2370</v>
      </c>
    </row>
    <row r="256" spans="1:12" hidden="1" outlineLevel="1" x14ac:dyDescent="0.35">
      <c r="A256" s="37" t="s">
        <v>787</v>
      </c>
      <c r="B256" s="62" t="s">
        <v>788</v>
      </c>
      <c r="C256" s="54" t="s">
        <v>930</v>
      </c>
      <c r="D256" s="85"/>
      <c r="E256" s="63">
        <v>3749</v>
      </c>
      <c r="F256" s="83">
        <v>11659</v>
      </c>
      <c r="G256" s="162">
        <v>21699</v>
      </c>
      <c r="H256" s="85">
        <v>13872</v>
      </c>
      <c r="I256" s="64">
        <v>16278</v>
      </c>
      <c r="J256" s="134"/>
      <c r="K256" s="134">
        <f t="shared" si="15"/>
        <v>16278</v>
      </c>
      <c r="L256" s="130">
        <f t="shared" si="14"/>
        <v>67257</v>
      </c>
    </row>
    <row r="257" spans="1:12" hidden="1" outlineLevel="1" x14ac:dyDescent="0.35">
      <c r="A257" s="37" t="s">
        <v>789</v>
      </c>
      <c r="B257" s="62" t="s">
        <v>790</v>
      </c>
      <c r="C257" s="54" t="s">
        <v>930</v>
      </c>
      <c r="D257" s="85"/>
      <c r="E257" s="63"/>
      <c r="F257" s="83"/>
      <c r="G257" s="64"/>
      <c r="H257" s="85"/>
      <c r="I257" s="64"/>
      <c r="J257" s="134"/>
      <c r="K257" s="134">
        <f t="shared" si="15"/>
        <v>0</v>
      </c>
      <c r="L257" s="130">
        <f t="shared" si="14"/>
        <v>0</v>
      </c>
    </row>
    <row r="258" spans="1:12" hidden="1" outlineLevel="1" x14ac:dyDescent="0.35">
      <c r="A258" s="37" t="s">
        <v>791</v>
      </c>
      <c r="B258" s="62" t="s">
        <v>792</v>
      </c>
      <c r="C258" s="54" t="s">
        <v>930</v>
      </c>
      <c r="D258" s="85"/>
      <c r="E258" s="63"/>
      <c r="F258" s="83"/>
      <c r="G258" s="64"/>
      <c r="H258" s="85">
        <v>65</v>
      </c>
      <c r="I258" s="64"/>
      <c r="J258" s="134"/>
      <c r="K258" s="134">
        <f t="shared" si="15"/>
        <v>0</v>
      </c>
      <c r="L258" s="130">
        <f t="shared" si="14"/>
        <v>65</v>
      </c>
    </row>
    <row r="259" spans="1:12" hidden="1" outlineLevel="1" x14ac:dyDescent="0.35">
      <c r="A259" s="37" t="s">
        <v>793</v>
      </c>
      <c r="B259" s="62" t="s">
        <v>794</v>
      </c>
      <c r="C259" s="54" t="s">
        <v>930</v>
      </c>
      <c r="D259" s="85">
        <v>2200</v>
      </c>
      <c r="E259" s="63">
        <v>16618</v>
      </c>
      <c r="F259" s="83">
        <v>47243</v>
      </c>
      <c r="G259" s="162">
        <v>5300</v>
      </c>
      <c r="H259" s="85">
        <v>66230</v>
      </c>
      <c r="I259" s="64"/>
      <c r="J259" s="134"/>
      <c r="K259" s="134">
        <f t="shared" si="15"/>
        <v>0</v>
      </c>
      <c r="L259" s="130">
        <f t="shared" si="14"/>
        <v>137591</v>
      </c>
    </row>
    <row r="260" spans="1:12" hidden="1" outlineLevel="1" x14ac:dyDescent="0.35">
      <c r="A260" s="37" t="s">
        <v>795</v>
      </c>
      <c r="B260" s="62" t="s">
        <v>796</v>
      </c>
      <c r="C260" s="54" t="s">
        <v>930</v>
      </c>
      <c r="D260" s="85"/>
      <c r="E260" s="63"/>
      <c r="F260" s="83"/>
      <c r="G260" s="64">
        <v>2903</v>
      </c>
      <c r="H260" s="85"/>
      <c r="I260" s="64">
        <v>3333</v>
      </c>
      <c r="J260" s="134"/>
      <c r="K260" s="134">
        <f t="shared" si="15"/>
        <v>3333</v>
      </c>
      <c r="L260" s="130">
        <f t="shared" si="14"/>
        <v>6236</v>
      </c>
    </row>
    <row r="261" spans="1:12" hidden="1" outlineLevel="1" x14ac:dyDescent="0.35">
      <c r="A261" s="37" t="s">
        <v>797</v>
      </c>
      <c r="B261" s="62" t="s">
        <v>798</v>
      </c>
      <c r="C261" s="54" t="s">
        <v>930</v>
      </c>
      <c r="D261" s="85"/>
      <c r="E261" s="63"/>
      <c r="F261" s="83"/>
      <c r="G261" s="64"/>
      <c r="H261" s="85"/>
      <c r="I261" s="64"/>
      <c r="J261" s="134"/>
      <c r="K261" s="134">
        <f t="shared" si="15"/>
        <v>0</v>
      </c>
      <c r="L261" s="130">
        <f t="shared" si="14"/>
        <v>0</v>
      </c>
    </row>
    <row r="262" spans="1:12" hidden="1" outlineLevel="1" x14ac:dyDescent="0.35">
      <c r="A262" s="37" t="s">
        <v>799</v>
      </c>
      <c r="B262" s="62" t="s">
        <v>800</v>
      </c>
      <c r="C262" s="54" t="s">
        <v>930</v>
      </c>
      <c r="D262" s="85"/>
      <c r="E262" s="63"/>
      <c r="F262" s="83"/>
      <c r="G262" s="162">
        <v>3829</v>
      </c>
      <c r="H262" s="85"/>
      <c r="I262" s="64"/>
      <c r="J262" s="134"/>
      <c r="K262" s="134">
        <f t="shared" si="15"/>
        <v>0</v>
      </c>
      <c r="L262" s="130">
        <f>K262+D262+E262+F262+G262+H262</f>
        <v>3829</v>
      </c>
    </row>
    <row r="263" spans="1:12" hidden="1" outlineLevel="1" x14ac:dyDescent="0.35">
      <c r="A263" s="37" t="s">
        <v>801</v>
      </c>
      <c r="B263" s="62" t="s">
        <v>802</v>
      </c>
      <c r="C263" s="54" t="s">
        <v>930</v>
      </c>
      <c r="D263" s="85"/>
      <c r="E263" s="63">
        <v>18653</v>
      </c>
      <c r="F263" s="83"/>
      <c r="G263" s="162">
        <v>70236</v>
      </c>
      <c r="H263" s="85">
        <v>3073</v>
      </c>
      <c r="I263" s="64"/>
      <c r="J263" s="134"/>
      <c r="K263" s="134">
        <f t="shared" si="15"/>
        <v>0</v>
      </c>
      <c r="L263" s="130">
        <f t="shared" si="14"/>
        <v>91962</v>
      </c>
    </row>
    <row r="264" spans="1:12" hidden="1" outlineLevel="1" x14ac:dyDescent="0.35">
      <c r="A264" s="37" t="s">
        <v>803</v>
      </c>
      <c r="B264" s="62" t="s">
        <v>804</v>
      </c>
      <c r="C264" s="54" t="s">
        <v>930</v>
      </c>
      <c r="D264" s="85"/>
      <c r="E264" s="63"/>
      <c r="F264" s="83">
        <v>131744</v>
      </c>
      <c r="G264" s="162">
        <v>4755</v>
      </c>
      <c r="H264" s="85">
        <v>51515</v>
      </c>
      <c r="I264" s="64">
        <v>18857</v>
      </c>
      <c r="J264" s="134"/>
      <c r="K264" s="134">
        <f t="shared" si="15"/>
        <v>18857</v>
      </c>
      <c r="L264" s="130">
        <f t="shared" si="14"/>
        <v>206871</v>
      </c>
    </row>
    <row r="265" spans="1:12" hidden="1" outlineLevel="1" x14ac:dyDescent="0.35">
      <c r="A265" s="37" t="s">
        <v>805</v>
      </c>
      <c r="B265" s="62" t="s">
        <v>806</v>
      </c>
      <c r="C265" s="54" t="s">
        <v>930</v>
      </c>
      <c r="D265" s="85"/>
      <c r="E265" s="63"/>
      <c r="F265" s="83">
        <v>265515</v>
      </c>
      <c r="G265" s="162">
        <v>6398</v>
      </c>
      <c r="H265" s="85"/>
      <c r="I265" s="64"/>
      <c r="J265" s="134"/>
      <c r="K265" s="134">
        <f t="shared" si="15"/>
        <v>0</v>
      </c>
      <c r="L265" s="130">
        <f t="shared" si="14"/>
        <v>271913</v>
      </c>
    </row>
    <row r="266" spans="1:12" hidden="1" outlineLevel="1" x14ac:dyDescent="0.35">
      <c r="A266" s="37" t="s">
        <v>807</v>
      </c>
      <c r="B266" s="62" t="s">
        <v>808</v>
      </c>
      <c r="C266" s="54" t="s">
        <v>930</v>
      </c>
      <c r="D266" s="85"/>
      <c r="E266" s="63"/>
      <c r="F266" s="83"/>
      <c r="G266" s="64"/>
      <c r="H266" s="85"/>
      <c r="I266" s="64"/>
      <c r="J266" s="134"/>
      <c r="K266" s="134">
        <f t="shared" si="15"/>
        <v>0</v>
      </c>
      <c r="L266" s="130">
        <f t="shared" ref="L266:L307" si="16">K266+D266+E266+F266+G266+H266</f>
        <v>0</v>
      </c>
    </row>
    <row r="267" spans="1:12" hidden="1" outlineLevel="1" x14ac:dyDescent="0.35">
      <c r="A267" s="37" t="s">
        <v>809</v>
      </c>
      <c r="B267" s="62" t="s">
        <v>810</v>
      </c>
      <c r="C267" s="54" t="s">
        <v>930</v>
      </c>
      <c r="D267" s="85"/>
      <c r="E267" s="63"/>
      <c r="F267" s="83"/>
      <c r="G267" s="64"/>
      <c r="H267" s="85"/>
      <c r="I267" s="64">
        <v>197</v>
      </c>
      <c r="J267" s="134"/>
      <c r="K267" s="134">
        <f t="shared" ref="K267:K307" si="17">I267+J267</f>
        <v>197</v>
      </c>
      <c r="L267" s="130">
        <f t="shared" si="16"/>
        <v>197</v>
      </c>
    </row>
    <row r="268" spans="1:12" hidden="1" outlineLevel="1" x14ac:dyDescent="0.35">
      <c r="A268" s="37" t="s">
        <v>811</v>
      </c>
      <c r="B268" s="62" t="s">
        <v>812</v>
      </c>
      <c r="C268" s="54" t="s">
        <v>930</v>
      </c>
      <c r="D268" s="85"/>
      <c r="E268" s="63"/>
      <c r="F268" s="83"/>
      <c r="G268" s="64"/>
      <c r="H268" s="85"/>
      <c r="I268" s="64"/>
      <c r="J268" s="134"/>
      <c r="K268" s="134">
        <f t="shared" si="17"/>
        <v>0</v>
      </c>
      <c r="L268" s="130">
        <f t="shared" si="16"/>
        <v>0</v>
      </c>
    </row>
    <row r="269" spans="1:12" hidden="1" outlineLevel="1" x14ac:dyDescent="0.35">
      <c r="A269" s="37" t="s">
        <v>813</v>
      </c>
      <c r="B269" s="62" t="s">
        <v>814</v>
      </c>
      <c r="C269" s="54" t="s">
        <v>930</v>
      </c>
      <c r="D269" s="85"/>
      <c r="E269" s="63"/>
      <c r="F269" s="83"/>
      <c r="G269" s="162">
        <v>1713</v>
      </c>
      <c r="H269" s="85"/>
      <c r="I269" s="64"/>
      <c r="J269" s="134"/>
      <c r="K269" s="134">
        <f t="shared" si="17"/>
        <v>0</v>
      </c>
      <c r="L269" s="130">
        <f t="shared" si="16"/>
        <v>1713</v>
      </c>
    </row>
    <row r="270" spans="1:12" hidden="1" outlineLevel="1" x14ac:dyDescent="0.35">
      <c r="A270" s="37" t="s">
        <v>815</v>
      </c>
      <c r="B270" s="62" t="s">
        <v>816</v>
      </c>
      <c r="C270" s="54" t="s">
        <v>930</v>
      </c>
      <c r="D270" s="85"/>
      <c r="E270" s="63"/>
      <c r="F270" s="83"/>
      <c r="G270" s="64"/>
      <c r="H270" s="85"/>
      <c r="I270" s="64"/>
      <c r="J270" s="134"/>
      <c r="K270" s="134">
        <f t="shared" si="17"/>
        <v>0</v>
      </c>
      <c r="L270" s="130">
        <f t="shared" si="16"/>
        <v>0</v>
      </c>
    </row>
    <row r="271" spans="1:12" hidden="1" outlineLevel="1" x14ac:dyDescent="0.35">
      <c r="A271" s="37" t="s">
        <v>817</v>
      </c>
      <c r="B271" s="62" t="s">
        <v>818</v>
      </c>
      <c r="C271" s="54" t="s">
        <v>930</v>
      </c>
      <c r="D271" s="85">
        <v>9816</v>
      </c>
      <c r="E271" s="63">
        <v>5525</v>
      </c>
      <c r="F271" s="83">
        <v>13022</v>
      </c>
      <c r="G271" s="162">
        <v>3998</v>
      </c>
      <c r="H271" s="85"/>
      <c r="I271" s="64">
        <v>3086</v>
      </c>
      <c r="J271" s="134"/>
      <c r="K271" s="134">
        <f t="shared" si="17"/>
        <v>3086</v>
      </c>
      <c r="L271" s="130">
        <f t="shared" si="16"/>
        <v>35447</v>
      </c>
    </row>
    <row r="272" spans="1:12" hidden="1" outlineLevel="1" x14ac:dyDescent="0.35">
      <c r="A272" s="37" t="s">
        <v>819</v>
      </c>
      <c r="B272" s="62" t="s">
        <v>820</v>
      </c>
      <c r="C272" s="54" t="s">
        <v>930</v>
      </c>
      <c r="D272" s="85"/>
      <c r="E272" s="63"/>
      <c r="F272" s="83">
        <v>5996</v>
      </c>
      <c r="G272" s="64"/>
      <c r="H272" s="85">
        <v>20216</v>
      </c>
      <c r="I272" s="64"/>
      <c r="J272" s="134"/>
      <c r="K272" s="134">
        <f t="shared" si="17"/>
        <v>0</v>
      </c>
      <c r="L272" s="130">
        <f t="shared" si="16"/>
        <v>26212</v>
      </c>
    </row>
    <row r="273" spans="1:12" hidden="1" outlineLevel="1" x14ac:dyDescent="0.35">
      <c r="A273" s="37" t="s">
        <v>821</v>
      </c>
      <c r="B273" s="62" t="s">
        <v>822</v>
      </c>
      <c r="C273" s="54" t="s">
        <v>930</v>
      </c>
      <c r="D273" s="85">
        <v>24975</v>
      </c>
      <c r="E273" s="63">
        <v>20682</v>
      </c>
      <c r="F273" s="83">
        <v>71606</v>
      </c>
      <c r="G273" s="162">
        <v>56645</v>
      </c>
      <c r="H273" s="85">
        <v>79167</v>
      </c>
      <c r="I273" s="64">
        <v>1973</v>
      </c>
      <c r="J273" s="134"/>
      <c r="K273" s="134">
        <f t="shared" si="17"/>
        <v>1973</v>
      </c>
      <c r="L273" s="130">
        <f t="shared" si="16"/>
        <v>255048</v>
      </c>
    </row>
    <row r="274" spans="1:12" hidden="1" outlineLevel="1" x14ac:dyDescent="0.35">
      <c r="A274" s="37" t="s">
        <v>823</v>
      </c>
      <c r="B274" s="62" t="s">
        <v>824</v>
      </c>
      <c r="C274" s="54" t="s">
        <v>930</v>
      </c>
      <c r="D274" s="85"/>
      <c r="E274" s="63"/>
      <c r="F274" s="83">
        <v>23</v>
      </c>
      <c r="G274" s="64">
        <v>2</v>
      </c>
      <c r="H274" s="85">
        <v>3</v>
      </c>
      <c r="I274" s="64"/>
      <c r="J274" s="134"/>
      <c r="K274" s="134">
        <f t="shared" si="17"/>
        <v>0</v>
      </c>
      <c r="L274" s="130">
        <f t="shared" si="16"/>
        <v>28</v>
      </c>
    </row>
    <row r="275" spans="1:12" hidden="1" outlineLevel="1" x14ac:dyDescent="0.35">
      <c r="A275" s="37" t="s">
        <v>825</v>
      </c>
      <c r="B275" s="62" t="s">
        <v>826</v>
      </c>
      <c r="C275" s="54" t="s">
        <v>930</v>
      </c>
      <c r="D275" s="85"/>
      <c r="E275" s="63"/>
      <c r="F275" s="83"/>
      <c r="G275" s="64"/>
      <c r="H275" s="85">
        <v>13454</v>
      </c>
      <c r="I275" s="64"/>
      <c r="J275" s="134"/>
      <c r="K275" s="134">
        <f t="shared" si="17"/>
        <v>0</v>
      </c>
      <c r="L275" s="130">
        <f t="shared" si="16"/>
        <v>13454</v>
      </c>
    </row>
    <row r="276" spans="1:12" hidden="1" outlineLevel="1" x14ac:dyDescent="0.35">
      <c r="A276" s="37" t="s">
        <v>827</v>
      </c>
      <c r="B276" s="62" t="s">
        <v>828</v>
      </c>
      <c r="C276" s="54" t="s">
        <v>930</v>
      </c>
      <c r="D276" s="85">
        <v>976</v>
      </c>
      <c r="E276" s="63">
        <v>9351</v>
      </c>
      <c r="F276" s="83">
        <v>17508</v>
      </c>
      <c r="G276" s="162">
        <v>8031</v>
      </c>
      <c r="H276" s="85">
        <v>9689</v>
      </c>
      <c r="I276" s="64">
        <v>4072</v>
      </c>
      <c r="J276" s="134"/>
      <c r="K276" s="134">
        <f t="shared" si="17"/>
        <v>4072</v>
      </c>
      <c r="L276" s="130">
        <f t="shared" si="16"/>
        <v>49627</v>
      </c>
    </row>
    <row r="277" spans="1:12" hidden="1" outlineLevel="1" x14ac:dyDescent="0.35">
      <c r="A277" s="37" t="s">
        <v>829</v>
      </c>
      <c r="B277" s="62" t="s">
        <v>830</v>
      </c>
      <c r="C277" s="54" t="s">
        <v>930</v>
      </c>
      <c r="D277" s="85"/>
      <c r="E277" s="63"/>
      <c r="F277" s="83">
        <v>116898</v>
      </c>
      <c r="G277" s="64">
        <v>-40</v>
      </c>
      <c r="H277" s="85">
        <v>77141</v>
      </c>
      <c r="I277" s="64">
        <v>1445</v>
      </c>
      <c r="J277" s="134"/>
      <c r="K277" s="134">
        <f t="shared" si="17"/>
        <v>1445</v>
      </c>
      <c r="L277" s="130">
        <f t="shared" si="16"/>
        <v>195444</v>
      </c>
    </row>
    <row r="278" spans="1:12" hidden="1" outlineLevel="1" x14ac:dyDescent="0.35">
      <c r="A278" s="37" t="s">
        <v>831</v>
      </c>
      <c r="B278" s="62" t="s">
        <v>832</v>
      </c>
      <c r="C278" s="54" t="s">
        <v>930</v>
      </c>
      <c r="D278" s="85"/>
      <c r="E278" s="63"/>
      <c r="F278" s="83"/>
      <c r="G278" s="64"/>
      <c r="H278" s="85"/>
      <c r="I278" s="64"/>
      <c r="J278" s="134"/>
      <c r="K278" s="134">
        <f t="shared" si="17"/>
        <v>0</v>
      </c>
      <c r="L278" s="130">
        <f t="shared" si="16"/>
        <v>0</v>
      </c>
    </row>
    <row r="279" spans="1:12" hidden="1" outlineLevel="1" x14ac:dyDescent="0.35">
      <c r="A279" s="37" t="s">
        <v>833</v>
      </c>
      <c r="B279" s="62" t="s">
        <v>834</v>
      </c>
      <c r="C279" s="54" t="s">
        <v>930</v>
      </c>
      <c r="D279" s="85"/>
      <c r="E279" s="63"/>
      <c r="F279" s="83"/>
      <c r="G279" s="64"/>
      <c r="H279" s="85"/>
      <c r="I279" s="64"/>
      <c r="J279" s="134"/>
      <c r="K279" s="134">
        <f t="shared" si="17"/>
        <v>0</v>
      </c>
      <c r="L279" s="130">
        <f t="shared" si="16"/>
        <v>0</v>
      </c>
    </row>
    <row r="280" spans="1:12" hidden="1" outlineLevel="1" x14ac:dyDescent="0.35">
      <c r="A280" s="37" t="s">
        <v>835</v>
      </c>
      <c r="B280" s="62" t="s">
        <v>836</v>
      </c>
      <c r="C280" s="79" t="s">
        <v>930</v>
      </c>
      <c r="D280" s="85"/>
      <c r="E280" s="63"/>
      <c r="F280" s="83"/>
      <c r="G280" s="64"/>
      <c r="H280" s="85"/>
      <c r="I280" s="64"/>
      <c r="J280" s="134"/>
      <c r="K280" s="134">
        <f t="shared" si="17"/>
        <v>0</v>
      </c>
      <c r="L280" s="130">
        <f t="shared" si="16"/>
        <v>0</v>
      </c>
    </row>
    <row r="281" spans="1:12" hidden="1" outlineLevel="1" x14ac:dyDescent="0.35">
      <c r="A281" s="37"/>
      <c r="B281" s="167" t="s">
        <v>1308</v>
      </c>
      <c r="C281" s="168"/>
      <c r="D281" s="119"/>
      <c r="E281" s="121"/>
      <c r="F281" s="122">
        <f>-F208</f>
        <v>-219081</v>
      </c>
      <c r="G281" s="122">
        <f t="shared" ref="G281:H281" si="18">-G208</f>
        <v>-66578</v>
      </c>
      <c r="H281" s="122">
        <f t="shared" si="18"/>
        <v>-99521</v>
      </c>
      <c r="I281" s="123"/>
      <c r="J281" s="165">
        <f>-(F281+G281+H281)</f>
        <v>385180</v>
      </c>
      <c r="K281" s="119"/>
      <c r="L281" s="124"/>
    </row>
    <row r="282" spans="1:12" s="12" customFormat="1" x14ac:dyDescent="0.35">
      <c r="A282" s="52"/>
      <c r="B282" s="72" t="s">
        <v>1290</v>
      </c>
      <c r="C282" s="53"/>
      <c r="D282" s="88">
        <f>D103+D149+D196+D201+D202</f>
        <v>1505789</v>
      </c>
      <c r="E282" s="76">
        <f t="shared" ref="E282:I282" si="19">E103+E149+E196+E201+E202</f>
        <v>856289</v>
      </c>
      <c r="F282" s="88">
        <f t="shared" si="19"/>
        <v>3293980</v>
      </c>
      <c r="G282" s="76">
        <f t="shared" si="19"/>
        <v>2739621</v>
      </c>
      <c r="H282" s="88">
        <f t="shared" si="19"/>
        <v>3091850</v>
      </c>
      <c r="I282" s="76">
        <f t="shared" si="19"/>
        <v>1436709</v>
      </c>
      <c r="J282" s="160"/>
      <c r="K282" s="137">
        <f>K103+K149+K202</f>
        <v>5488946</v>
      </c>
      <c r="L282" s="138">
        <f>K282+D282+E282+F282+G282+H282</f>
        <v>16976475</v>
      </c>
    </row>
    <row r="283" spans="1:12" s="12" customFormat="1" x14ac:dyDescent="0.35">
      <c r="A283" s="56"/>
      <c r="B283" s="81" t="s">
        <v>1287</v>
      </c>
      <c r="C283" s="58"/>
      <c r="D283" s="90">
        <f t="shared" ref="D283:I283" si="20">D148-D149-D196-D202</f>
        <v>-99828.666666666744</v>
      </c>
      <c r="E283" s="59">
        <f t="shared" si="20"/>
        <v>234228</v>
      </c>
      <c r="F283" s="90">
        <f t="shared" si="20"/>
        <v>-5409</v>
      </c>
      <c r="G283" s="59">
        <f t="shared" si="20"/>
        <v>713581</v>
      </c>
      <c r="H283" s="90">
        <f t="shared" si="20"/>
        <v>140854</v>
      </c>
      <c r="I283" s="59">
        <f t="shared" si="20"/>
        <v>40179</v>
      </c>
      <c r="J283" s="90"/>
      <c r="K283" s="59">
        <f>K102-K282</f>
        <v>95265</v>
      </c>
      <c r="L283" s="135">
        <f t="shared" si="16"/>
        <v>1078690.3333333333</v>
      </c>
    </row>
    <row r="284" spans="1:12" collapsed="1" x14ac:dyDescent="0.35">
      <c r="A284" s="57"/>
      <c r="B284" s="62" t="s">
        <v>931</v>
      </c>
      <c r="C284" s="79"/>
      <c r="D284" s="85">
        <f>SUM(D285:D289)</f>
        <v>200</v>
      </c>
      <c r="E284" s="65">
        <f t="shared" ref="E284:I284" si="21">SUM(E285:E289)</f>
        <v>50000</v>
      </c>
      <c r="F284" s="85">
        <f t="shared" si="21"/>
        <v>50000</v>
      </c>
      <c r="G284" s="65">
        <f t="shared" si="21"/>
        <v>78996</v>
      </c>
      <c r="H284" s="85">
        <f t="shared" si="21"/>
        <v>0</v>
      </c>
      <c r="I284" s="65">
        <f t="shared" si="21"/>
        <v>0</v>
      </c>
      <c r="J284" s="161"/>
      <c r="K284" s="134">
        <f t="shared" si="17"/>
        <v>0</v>
      </c>
      <c r="L284" s="130">
        <f t="shared" si="16"/>
        <v>179196</v>
      </c>
    </row>
    <row r="285" spans="1:12" hidden="1" outlineLevel="1" x14ac:dyDescent="0.35">
      <c r="A285" s="37" t="s">
        <v>837</v>
      </c>
      <c r="B285" s="62" t="s">
        <v>838</v>
      </c>
      <c r="C285" s="54" t="s">
        <v>931</v>
      </c>
      <c r="D285" s="85">
        <v>200</v>
      </c>
      <c r="E285" s="63">
        <v>50000</v>
      </c>
      <c r="F285" s="83">
        <v>50000</v>
      </c>
      <c r="G285" s="162">
        <v>78996</v>
      </c>
      <c r="H285" s="85"/>
      <c r="I285" s="64"/>
      <c r="J285" s="134"/>
      <c r="K285" s="134">
        <f t="shared" si="17"/>
        <v>0</v>
      </c>
      <c r="L285" s="130">
        <f t="shared" si="16"/>
        <v>179196</v>
      </c>
    </row>
    <row r="286" spans="1:12" hidden="1" outlineLevel="1" x14ac:dyDescent="0.35">
      <c r="A286" s="37" t="s">
        <v>839</v>
      </c>
      <c r="B286" s="62" t="s">
        <v>840</v>
      </c>
      <c r="C286" s="54" t="s">
        <v>931</v>
      </c>
      <c r="D286" s="85"/>
      <c r="E286" s="63"/>
      <c r="F286" s="83"/>
      <c r="G286" s="64"/>
      <c r="H286" s="85"/>
      <c r="I286" s="64"/>
      <c r="J286" s="134"/>
      <c r="K286" s="134">
        <f t="shared" si="17"/>
        <v>0</v>
      </c>
      <c r="L286" s="130">
        <f t="shared" si="16"/>
        <v>0</v>
      </c>
    </row>
    <row r="287" spans="1:12" hidden="1" outlineLevel="1" x14ac:dyDescent="0.35">
      <c r="A287" s="37" t="s">
        <v>841</v>
      </c>
      <c r="B287" s="62" t="s">
        <v>842</v>
      </c>
      <c r="C287" s="54" t="s">
        <v>931</v>
      </c>
      <c r="D287" s="85"/>
      <c r="E287" s="63"/>
      <c r="F287" s="83"/>
      <c r="G287" s="64"/>
      <c r="H287" s="85"/>
      <c r="I287" s="64"/>
      <c r="J287" s="134"/>
      <c r="K287" s="134">
        <f t="shared" si="17"/>
        <v>0</v>
      </c>
      <c r="L287" s="130">
        <f t="shared" si="16"/>
        <v>0</v>
      </c>
    </row>
    <row r="288" spans="1:12" hidden="1" outlineLevel="1" x14ac:dyDescent="0.35">
      <c r="A288" s="48" t="s">
        <v>843</v>
      </c>
      <c r="B288" s="69" t="s">
        <v>844</v>
      </c>
      <c r="C288" s="54" t="s">
        <v>931</v>
      </c>
      <c r="D288" s="85"/>
      <c r="E288" s="63"/>
      <c r="F288" s="83"/>
      <c r="G288" s="64"/>
      <c r="H288" s="85"/>
      <c r="I288" s="64"/>
      <c r="J288" s="134"/>
      <c r="K288" s="134">
        <f t="shared" si="17"/>
        <v>0</v>
      </c>
      <c r="L288" s="130">
        <f t="shared" si="16"/>
        <v>0</v>
      </c>
    </row>
    <row r="289" spans="1:12" hidden="1" outlineLevel="1" x14ac:dyDescent="0.35">
      <c r="A289" s="37" t="s">
        <v>847</v>
      </c>
      <c r="B289" s="62" t="s">
        <v>848</v>
      </c>
      <c r="C289" s="54" t="s">
        <v>931</v>
      </c>
      <c r="D289" s="85"/>
      <c r="E289" s="63"/>
      <c r="F289" s="83"/>
      <c r="G289" s="64"/>
      <c r="H289" s="85"/>
      <c r="I289" s="64"/>
      <c r="J289" s="134"/>
      <c r="K289" s="134">
        <f t="shared" si="17"/>
        <v>0</v>
      </c>
      <c r="L289" s="130">
        <f t="shared" si="16"/>
        <v>0</v>
      </c>
    </row>
    <row r="290" spans="1:12" collapsed="1" x14ac:dyDescent="0.35">
      <c r="A290" s="37"/>
      <c r="B290" s="62" t="s">
        <v>932</v>
      </c>
      <c r="C290" s="65"/>
      <c r="D290" s="85">
        <f>SUM(D291:D292)</f>
        <v>0</v>
      </c>
      <c r="E290" s="65">
        <f t="shared" ref="E290:I290" si="22">SUM(E291:E292)</f>
        <v>0</v>
      </c>
      <c r="F290" s="85">
        <f t="shared" si="22"/>
        <v>0</v>
      </c>
      <c r="G290" s="65">
        <f t="shared" si="22"/>
        <v>0</v>
      </c>
      <c r="H290" s="85">
        <f t="shared" si="22"/>
        <v>0</v>
      </c>
      <c r="I290" s="65">
        <f t="shared" si="22"/>
        <v>0</v>
      </c>
      <c r="J290" s="134"/>
      <c r="K290" s="134">
        <f t="shared" si="17"/>
        <v>0</v>
      </c>
      <c r="L290" s="130">
        <f t="shared" si="16"/>
        <v>0</v>
      </c>
    </row>
    <row r="291" spans="1:12" hidden="1" outlineLevel="1" x14ac:dyDescent="0.35">
      <c r="A291" s="37" t="s">
        <v>845</v>
      </c>
      <c r="B291" s="62" t="s">
        <v>846</v>
      </c>
      <c r="C291" s="54" t="s">
        <v>932</v>
      </c>
      <c r="D291" s="85"/>
      <c r="E291" s="63"/>
      <c r="F291" s="83"/>
      <c r="G291" s="64"/>
      <c r="H291" s="85"/>
      <c r="I291" s="64"/>
      <c r="J291" s="134"/>
      <c r="K291" s="134">
        <f t="shared" si="17"/>
        <v>0</v>
      </c>
      <c r="L291" s="130">
        <f t="shared" si="16"/>
        <v>0</v>
      </c>
    </row>
    <row r="292" spans="1:12" hidden="1" outlineLevel="1" x14ac:dyDescent="0.35">
      <c r="A292" s="37" t="s">
        <v>849</v>
      </c>
      <c r="B292" s="62" t="s">
        <v>850</v>
      </c>
      <c r="C292" s="54" t="s">
        <v>932</v>
      </c>
      <c r="D292" s="85"/>
      <c r="E292" s="63"/>
      <c r="F292" s="83"/>
      <c r="G292" s="64"/>
      <c r="H292" s="85"/>
      <c r="I292" s="64"/>
      <c r="J292" s="134"/>
      <c r="K292" s="134">
        <f t="shared" si="17"/>
        <v>0</v>
      </c>
      <c r="L292" s="130">
        <f t="shared" si="16"/>
        <v>0</v>
      </c>
    </row>
    <row r="293" spans="1:12" collapsed="1" x14ac:dyDescent="0.35">
      <c r="A293" s="37"/>
      <c r="B293" s="62" t="s">
        <v>933</v>
      </c>
      <c r="C293" s="54"/>
      <c r="D293" s="85">
        <f>SUM(D294:D295)</f>
        <v>0</v>
      </c>
      <c r="E293" s="65">
        <f t="shared" ref="E293:I293" si="23">SUM(E294:E295)</f>
        <v>0</v>
      </c>
      <c r="F293" s="85">
        <f t="shared" si="23"/>
        <v>0</v>
      </c>
      <c r="G293" s="65">
        <f t="shared" si="23"/>
        <v>0</v>
      </c>
      <c r="H293" s="85">
        <f t="shared" si="23"/>
        <v>0</v>
      </c>
      <c r="I293" s="65">
        <f t="shared" si="23"/>
        <v>0</v>
      </c>
      <c r="J293" s="134"/>
      <c r="K293" s="134">
        <f t="shared" si="17"/>
        <v>0</v>
      </c>
      <c r="L293" s="130">
        <f t="shared" si="16"/>
        <v>0</v>
      </c>
    </row>
    <row r="294" spans="1:12" hidden="1" outlineLevel="1" x14ac:dyDescent="0.35">
      <c r="A294" s="37" t="s">
        <v>851</v>
      </c>
      <c r="B294" s="62" t="s">
        <v>852</v>
      </c>
      <c r="C294" s="54" t="s">
        <v>933</v>
      </c>
      <c r="D294" s="85"/>
      <c r="E294" s="63"/>
      <c r="F294" s="83"/>
      <c r="G294" s="64"/>
      <c r="H294" s="85"/>
      <c r="I294" s="64"/>
      <c r="J294" s="134"/>
      <c r="K294" s="134">
        <f t="shared" si="17"/>
        <v>0</v>
      </c>
      <c r="L294" s="130">
        <f t="shared" si="16"/>
        <v>0</v>
      </c>
    </row>
    <row r="295" spans="1:12" hidden="1" outlineLevel="1" x14ac:dyDescent="0.35">
      <c r="A295" s="37" t="s">
        <v>853</v>
      </c>
      <c r="B295" s="62" t="s">
        <v>854</v>
      </c>
      <c r="C295" s="54" t="s">
        <v>933</v>
      </c>
      <c r="D295" s="85"/>
      <c r="E295" s="63"/>
      <c r="F295" s="83"/>
      <c r="G295" s="64"/>
      <c r="H295" s="85"/>
      <c r="I295" s="64"/>
      <c r="J295" s="134"/>
      <c r="K295" s="134">
        <f t="shared" si="17"/>
        <v>0</v>
      </c>
      <c r="L295" s="130">
        <f t="shared" si="16"/>
        <v>0</v>
      </c>
    </row>
    <row r="296" spans="1:12" collapsed="1" x14ac:dyDescent="0.35">
      <c r="A296" s="37"/>
      <c r="B296" s="62" t="s">
        <v>934</v>
      </c>
      <c r="C296" s="54"/>
      <c r="D296" s="85">
        <f>SUM(D297:D302)</f>
        <v>0</v>
      </c>
      <c r="E296" s="65">
        <f t="shared" ref="E296:I296" si="24">SUM(E297:E302)</f>
        <v>0</v>
      </c>
      <c r="F296" s="85">
        <f t="shared" si="24"/>
        <v>0</v>
      </c>
      <c r="G296" s="65">
        <f t="shared" si="24"/>
        <v>4809</v>
      </c>
      <c r="H296" s="85">
        <f t="shared" si="24"/>
        <v>0</v>
      </c>
      <c r="I296" s="65">
        <f t="shared" si="24"/>
        <v>0</v>
      </c>
      <c r="J296" s="134"/>
      <c r="K296" s="134">
        <f t="shared" si="17"/>
        <v>0</v>
      </c>
      <c r="L296" s="130">
        <f t="shared" si="16"/>
        <v>4809</v>
      </c>
    </row>
    <row r="297" spans="1:12" hidden="1" outlineLevel="1" x14ac:dyDescent="0.35">
      <c r="A297" s="37" t="s">
        <v>855</v>
      </c>
      <c r="B297" s="62" t="s">
        <v>856</v>
      </c>
      <c r="C297" s="54" t="s">
        <v>934</v>
      </c>
      <c r="D297" s="85"/>
      <c r="E297" s="63"/>
      <c r="F297" s="83"/>
      <c r="G297" s="162">
        <v>619</v>
      </c>
      <c r="H297" s="85"/>
      <c r="I297" s="64"/>
      <c r="J297" s="134"/>
      <c r="K297" s="134">
        <f t="shared" si="17"/>
        <v>0</v>
      </c>
      <c r="L297" s="130">
        <f t="shared" si="16"/>
        <v>619</v>
      </c>
    </row>
    <row r="298" spans="1:12" hidden="1" outlineLevel="1" x14ac:dyDescent="0.35">
      <c r="A298" s="37" t="s">
        <v>857</v>
      </c>
      <c r="B298" s="62" t="s">
        <v>858</v>
      </c>
      <c r="C298" s="54" t="s">
        <v>934</v>
      </c>
      <c r="D298" s="85"/>
      <c r="E298" s="63"/>
      <c r="F298" s="83"/>
      <c r="G298" s="64"/>
      <c r="H298" s="85"/>
      <c r="I298" s="64"/>
      <c r="J298" s="134"/>
      <c r="K298" s="134">
        <f t="shared" si="17"/>
        <v>0</v>
      </c>
      <c r="L298" s="130">
        <f t="shared" si="16"/>
        <v>0</v>
      </c>
    </row>
    <row r="299" spans="1:12" hidden="1" outlineLevel="1" x14ac:dyDescent="0.35">
      <c r="A299" s="37" t="s">
        <v>859</v>
      </c>
      <c r="B299" s="62" t="s">
        <v>860</v>
      </c>
      <c r="C299" s="54" t="s">
        <v>934</v>
      </c>
      <c r="D299" s="85"/>
      <c r="E299" s="63"/>
      <c r="F299" s="83"/>
      <c r="G299" s="162">
        <v>610</v>
      </c>
      <c r="H299" s="85"/>
      <c r="I299" s="64"/>
      <c r="J299" s="134"/>
      <c r="K299" s="134">
        <f t="shared" si="17"/>
        <v>0</v>
      </c>
      <c r="L299" s="130">
        <f t="shared" si="16"/>
        <v>610</v>
      </c>
    </row>
    <row r="300" spans="1:12" hidden="1" outlineLevel="1" x14ac:dyDescent="0.35">
      <c r="A300" s="37" t="s">
        <v>861</v>
      </c>
      <c r="B300" s="62" t="s">
        <v>862</v>
      </c>
      <c r="C300" s="54" t="s">
        <v>934</v>
      </c>
      <c r="D300" s="85"/>
      <c r="E300" s="63"/>
      <c r="F300" s="83"/>
      <c r="G300" s="162">
        <v>3580</v>
      </c>
      <c r="H300" s="85"/>
      <c r="I300" s="64"/>
      <c r="J300" s="134"/>
      <c r="K300" s="134">
        <f t="shared" si="17"/>
        <v>0</v>
      </c>
      <c r="L300" s="130">
        <f t="shared" si="16"/>
        <v>3580</v>
      </c>
    </row>
    <row r="301" spans="1:12" hidden="1" outlineLevel="1" x14ac:dyDescent="0.35">
      <c r="A301" s="37" t="s">
        <v>863</v>
      </c>
      <c r="B301" s="62" t="s">
        <v>864</v>
      </c>
      <c r="C301" s="54" t="s">
        <v>934</v>
      </c>
      <c r="D301" s="85"/>
      <c r="E301" s="63"/>
      <c r="F301" s="83"/>
      <c r="G301" s="64"/>
      <c r="H301" s="85"/>
      <c r="I301" s="64"/>
      <c r="J301" s="134"/>
      <c r="K301" s="134">
        <f t="shared" si="17"/>
        <v>0</v>
      </c>
      <c r="L301" s="130">
        <f t="shared" si="16"/>
        <v>0</v>
      </c>
    </row>
    <row r="302" spans="1:12" hidden="1" outlineLevel="1" x14ac:dyDescent="0.35">
      <c r="A302" s="37" t="s">
        <v>865</v>
      </c>
      <c r="B302" s="62" t="s">
        <v>866</v>
      </c>
      <c r="C302" s="54" t="s">
        <v>934</v>
      </c>
      <c r="D302" s="85"/>
      <c r="E302" s="63"/>
      <c r="F302" s="83"/>
      <c r="G302" s="64"/>
      <c r="H302" s="85"/>
      <c r="I302" s="64"/>
      <c r="J302" s="134"/>
      <c r="K302" s="134">
        <f t="shared" si="17"/>
        <v>0</v>
      </c>
      <c r="L302" s="130">
        <f t="shared" si="16"/>
        <v>0</v>
      </c>
    </row>
    <row r="303" spans="1:12" s="12" customFormat="1" x14ac:dyDescent="0.35">
      <c r="A303" s="42"/>
      <c r="B303" s="81" t="s">
        <v>1288</v>
      </c>
      <c r="C303" s="58"/>
      <c r="D303" s="90">
        <f>D283+D284-D296</f>
        <v>-99628.666666666744</v>
      </c>
      <c r="E303" s="59">
        <f t="shared" ref="E303:I303" si="25">E283+E284-E296</f>
        <v>284228</v>
      </c>
      <c r="F303" s="90">
        <f t="shared" si="25"/>
        <v>44591</v>
      </c>
      <c r="G303" s="59">
        <f t="shared" si="25"/>
        <v>787768</v>
      </c>
      <c r="H303" s="90">
        <f t="shared" si="25"/>
        <v>140854</v>
      </c>
      <c r="I303" s="59">
        <f t="shared" si="25"/>
        <v>40179</v>
      </c>
      <c r="J303" s="135"/>
      <c r="K303" s="135">
        <f t="shared" si="17"/>
        <v>40179</v>
      </c>
      <c r="L303" s="136">
        <f t="shared" si="16"/>
        <v>1197991.3333333333</v>
      </c>
    </row>
    <row r="304" spans="1:12" ht="15" collapsed="1" thickBot="1" x14ac:dyDescent="0.4">
      <c r="A304" s="37"/>
      <c r="B304" s="62" t="s">
        <v>935</v>
      </c>
      <c r="C304" s="54"/>
      <c r="D304" s="85">
        <f>SUM(D305:D306)</f>
        <v>0</v>
      </c>
      <c r="E304" s="65">
        <f t="shared" ref="E304:I304" si="26">SUM(E305:E306)</f>
        <v>0</v>
      </c>
      <c r="F304" s="85">
        <f t="shared" si="26"/>
        <v>0</v>
      </c>
      <c r="G304" s="65">
        <f t="shared" si="26"/>
        <v>0</v>
      </c>
      <c r="H304" s="85">
        <f t="shared" si="26"/>
        <v>0</v>
      </c>
      <c r="I304" s="65">
        <f t="shared" si="26"/>
        <v>0</v>
      </c>
      <c r="J304" s="85"/>
      <c r="K304" s="134">
        <f t="shared" si="17"/>
        <v>0</v>
      </c>
      <c r="L304" s="130">
        <f t="shared" si="16"/>
        <v>0</v>
      </c>
    </row>
    <row r="305" spans="1:12" hidden="1" outlineLevel="1" x14ac:dyDescent="0.35">
      <c r="A305" s="37" t="s">
        <v>867</v>
      </c>
      <c r="B305" s="62" t="s">
        <v>868</v>
      </c>
      <c r="C305" s="54" t="s">
        <v>935</v>
      </c>
      <c r="D305" s="85"/>
      <c r="E305" s="63"/>
      <c r="F305" s="83"/>
      <c r="G305" s="64"/>
      <c r="H305" s="85"/>
      <c r="I305" s="64"/>
      <c r="J305" s="134"/>
      <c r="K305" s="134">
        <f t="shared" si="17"/>
        <v>0</v>
      </c>
      <c r="L305" s="130">
        <f t="shared" si="16"/>
        <v>0</v>
      </c>
    </row>
    <row r="306" spans="1:12" ht="15" hidden="1" outlineLevel="1" thickBot="1" x14ac:dyDescent="0.4">
      <c r="A306" s="37" t="s">
        <v>869</v>
      </c>
      <c r="B306" s="62" t="s">
        <v>870</v>
      </c>
      <c r="C306" s="54" t="s">
        <v>935</v>
      </c>
      <c r="D306" s="85"/>
      <c r="E306" s="63"/>
      <c r="F306" s="83"/>
      <c r="G306" s="64"/>
      <c r="H306" s="85"/>
      <c r="I306" s="64"/>
      <c r="J306" s="134"/>
      <c r="K306" s="134">
        <f t="shared" si="17"/>
        <v>0</v>
      </c>
      <c r="L306" s="130">
        <f t="shared" si="16"/>
        <v>0</v>
      </c>
    </row>
    <row r="307" spans="1:12" ht="15" collapsed="1" thickBot="1" x14ac:dyDescent="0.4">
      <c r="A307" s="37"/>
      <c r="B307" s="112" t="s">
        <v>872</v>
      </c>
      <c r="C307" s="50"/>
      <c r="D307" s="114">
        <f>SUM(D308:D311)</f>
        <v>0</v>
      </c>
      <c r="E307" s="115">
        <f t="shared" ref="E307:I307" si="27">SUM(E308:E311)</f>
        <v>0</v>
      </c>
      <c r="F307" s="114">
        <f t="shared" si="27"/>
        <v>0</v>
      </c>
      <c r="G307" s="115">
        <f t="shared" si="27"/>
        <v>0</v>
      </c>
      <c r="H307" s="114">
        <f t="shared" si="27"/>
        <v>0</v>
      </c>
      <c r="I307" s="115">
        <f t="shared" si="27"/>
        <v>0</v>
      </c>
      <c r="J307" s="115"/>
      <c r="K307" s="139">
        <f t="shared" si="17"/>
        <v>0</v>
      </c>
      <c r="L307" s="140">
        <f t="shared" si="16"/>
        <v>0</v>
      </c>
    </row>
    <row r="308" spans="1:12" hidden="1" outlineLevel="1" x14ac:dyDescent="0.35">
      <c r="A308" s="37" t="s">
        <v>871</v>
      </c>
      <c r="B308" s="44" t="s">
        <v>872</v>
      </c>
      <c r="C308" s="44" t="s">
        <v>872</v>
      </c>
      <c r="D308" s="39"/>
      <c r="E308" s="45"/>
      <c r="F308" s="45"/>
      <c r="G308" s="46"/>
      <c r="H308" s="39"/>
      <c r="I308" s="39"/>
    </row>
    <row r="309" spans="1:12" hidden="1" outlineLevel="1" x14ac:dyDescent="0.35">
      <c r="A309" s="37" t="s">
        <v>873</v>
      </c>
      <c r="B309" s="44" t="s">
        <v>874</v>
      </c>
      <c r="C309" s="44" t="s">
        <v>872</v>
      </c>
      <c r="D309" s="39"/>
      <c r="E309" s="45"/>
      <c r="F309" s="45"/>
      <c r="G309" s="46"/>
      <c r="H309" s="39"/>
      <c r="I309" s="39"/>
    </row>
    <row r="310" spans="1:12" hidden="1" outlineLevel="1" x14ac:dyDescent="0.35">
      <c r="A310" s="37" t="s">
        <v>875</v>
      </c>
      <c r="B310" s="44" t="s">
        <v>876</v>
      </c>
      <c r="C310" s="44" t="s">
        <v>872</v>
      </c>
      <c r="D310" s="39"/>
      <c r="E310" s="45"/>
      <c r="F310" s="45"/>
      <c r="G310" s="46"/>
      <c r="H310" s="39"/>
      <c r="I310" s="39"/>
    </row>
    <row r="311" spans="1:12" hidden="1" outlineLevel="1" x14ac:dyDescent="0.35">
      <c r="A311" s="37" t="s">
        <v>877</v>
      </c>
      <c r="B311" s="44" t="s">
        <v>878</v>
      </c>
      <c r="C311" s="44" t="s">
        <v>872</v>
      </c>
      <c r="D311" s="39"/>
      <c r="E311" s="45"/>
      <c r="F311" s="45"/>
      <c r="G311" s="46"/>
      <c r="H311" s="39"/>
      <c r="I311" s="39"/>
    </row>
    <row r="312" spans="1:12" collapsed="1" x14ac:dyDescent="0.35">
      <c r="A312" s="37"/>
      <c r="B312" s="46"/>
      <c r="C312" s="46"/>
      <c r="D312" s="39"/>
      <c r="E312" s="39"/>
      <c r="F312" s="39"/>
      <c r="G312" s="46"/>
      <c r="H312" s="39"/>
      <c r="I312" s="39"/>
    </row>
    <row r="313" spans="1:12" x14ac:dyDescent="0.35">
      <c r="A313" s="37"/>
      <c r="B313" s="46"/>
      <c r="C313" s="46"/>
      <c r="D313" s="39"/>
      <c r="E313" s="39"/>
      <c r="F313" s="39"/>
      <c r="G313" s="46"/>
      <c r="H313" s="39"/>
      <c r="I313" s="39"/>
    </row>
    <row r="314" spans="1:12" x14ac:dyDescent="0.35">
      <c r="A314" s="37"/>
      <c r="B314" s="60"/>
      <c r="C314" s="46"/>
      <c r="D314" s="39"/>
      <c r="E314" s="39"/>
      <c r="F314" s="39"/>
      <c r="G314" s="46"/>
      <c r="H314" s="39"/>
      <c r="I314" s="39"/>
    </row>
    <row r="315" spans="1:12" x14ac:dyDescent="0.35">
      <c r="B315" s="22"/>
      <c r="C315" s="22"/>
      <c r="G315" s="33"/>
    </row>
    <row r="316" spans="1:12" x14ac:dyDescent="0.35">
      <c r="B316" s="22"/>
      <c r="C316" s="22"/>
      <c r="G316" s="33"/>
    </row>
    <row r="317" spans="1:12" x14ac:dyDescent="0.35">
      <c r="B317" s="22"/>
      <c r="C317" s="22"/>
      <c r="G317" s="33"/>
    </row>
    <row r="318" spans="1:12" x14ac:dyDescent="0.35">
      <c r="B318" s="22"/>
      <c r="C318" s="22"/>
      <c r="G318" s="33"/>
    </row>
    <row r="319" spans="1:12" x14ac:dyDescent="0.35">
      <c r="B319" s="22"/>
      <c r="C319" s="22"/>
      <c r="G319" s="33"/>
    </row>
    <row r="320" spans="1:12" x14ac:dyDescent="0.35">
      <c r="B320" s="22"/>
      <c r="C320" s="22"/>
      <c r="G320" s="33"/>
    </row>
    <row r="321" spans="1:7" x14ac:dyDescent="0.35">
      <c r="B321" s="22"/>
      <c r="C321" s="22"/>
      <c r="G321" s="33"/>
    </row>
    <row r="322" spans="1:7" x14ac:dyDescent="0.35">
      <c r="B322" s="22"/>
      <c r="C322" s="22"/>
      <c r="G322" s="33"/>
    </row>
    <row r="323" spans="1:7" x14ac:dyDescent="0.35">
      <c r="B323" s="22"/>
      <c r="C323" s="22"/>
      <c r="G323" s="33"/>
    </row>
    <row r="324" spans="1:7" x14ac:dyDescent="0.35">
      <c r="B324" s="22"/>
      <c r="C324" s="22"/>
      <c r="G324" s="33"/>
    </row>
    <row r="325" spans="1:7" x14ac:dyDescent="0.35">
      <c r="B325" s="22"/>
      <c r="C325" s="22"/>
      <c r="G325" s="33"/>
    </row>
    <row r="326" spans="1:7" x14ac:dyDescent="0.35">
      <c r="B326" s="22"/>
      <c r="C326" s="22"/>
      <c r="G326" s="33"/>
    </row>
    <row r="327" spans="1:7" x14ac:dyDescent="0.35">
      <c r="B327" s="22"/>
      <c r="C327" s="22"/>
      <c r="G327" s="33"/>
    </row>
    <row r="328" spans="1:7" x14ac:dyDescent="0.35">
      <c r="B328" s="22"/>
      <c r="C328" s="22"/>
      <c r="G328" s="33"/>
    </row>
    <row r="329" spans="1:7" s="27" customFormat="1" x14ac:dyDescent="0.35">
      <c r="A329" s="14"/>
      <c r="B329" s="22"/>
      <c r="C329" s="22"/>
      <c r="G329" s="33"/>
    </row>
    <row r="330" spans="1:7" s="27" customFormat="1" x14ac:dyDescent="0.35">
      <c r="A330" s="14"/>
      <c r="B330" s="22"/>
      <c r="C330" s="22"/>
      <c r="G330" s="33"/>
    </row>
    <row r="331" spans="1:7" s="27" customFormat="1" x14ac:dyDescent="0.35">
      <c r="A331" s="14"/>
      <c r="B331" s="22"/>
      <c r="C331" s="22"/>
      <c r="G331" s="33"/>
    </row>
    <row r="332" spans="1:7" s="27" customFormat="1" x14ac:dyDescent="0.35">
      <c r="A332" s="14"/>
      <c r="B332" s="22"/>
      <c r="C332" s="22"/>
      <c r="G332" s="33"/>
    </row>
  </sheetData>
  <dataConsolidate/>
  <pageMargins left="0.51181102362204722" right="0.51181102362204722" top="0.74803149606299213" bottom="0.74803149606299213" header="0.31496062992125984" footer="0.31496062992125984"/>
  <pageSetup paperSize="9" scale="60" fitToHeight="13" orientation="landscape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4170-4B2E-4167-A055-5BBEB442B9FA}">
  <sheetPr codeName="Ark6">
    <pageSetUpPr fitToPage="1"/>
  </sheetPr>
  <dimension ref="A1:D337"/>
  <sheetViews>
    <sheetView topLeftCell="A144" workbookViewId="0">
      <selection activeCell="D167" sqref="D167"/>
    </sheetView>
  </sheetViews>
  <sheetFormatPr baseColWidth="10" defaultColWidth="11.453125" defaultRowHeight="14.5" x14ac:dyDescent="0.35"/>
  <cols>
    <col min="1" max="1" width="8.54296875" customWidth="1"/>
    <col min="2" max="2" width="71.1796875" bestFit="1" customWidth="1"/>
    <col min="3" max="3" width="27.453125" bestFit="1" customWidth="1"/>
    <col min="4" max="4" width="65.54296875" bestFit="1" customWidth="1"/>
  </cols>
  <sheetData>
    <row r="1" spans="1:4" ht="26" x14ac:dyDescent="0.6">
      <c r="A1" s="216" t="s">
        <v>936</v>
      </c>
      <c r="B1" s="217"/>
      <c r="C1" s="217"/>
      <c r="D1" s="217"/>
    </row>
    <row r="2" spans="1:4" ht="17" x14ac:dyDescent="0.4">
      <c r="A2" s="1" t="s">
        <v>937</v>
      </c>
    </row>
    <row r="4" spans="1:4" x14ac:dyDescent="0.35">
      <c r="A4" s="12" t="s">
        <v>938</v>
      </c>
      <c r="B4" s="12" t="s">
        <v>2</v>
      </c>
      <c r="C4" s="12" t="s">
        <v>879</v>
      </c>
      <c r="D4" s="12" t="s">
        <v>880</v>
      </c>
    </row>
    <row r="5" spans="1:4" x14ac:dyDescent="0.35">
      <c r="A5" s="11" t="s">
        <v>3</v>
      </c>
      <c r="B5" s="11" t="s">
        <v>4</v>
      </c>
      <c r="C5" s="11" t="s">
        <v>881</v>
      </c>
      <c r="D5" s="11" t="s">
        <v>4</v>
      </c>
    </row>
    <row r="6" spans="1:4" x14ac:dyDescent="0.35">
      <c r="A6" s="11" t="s">
        <v>5</v>
      </c>
      <c r="B6" s="11" t="s">
        <v>6</v>
      </c>
      <c r="C6" s="11" t="s">
        <v>881</v>
      </c>
      <c r="D6" s="11" t="s">
        <v>882</v>
      </c>
    </row>
    <row r="7" spans="1:4" x14ac:dyDescent="0.35">
      <c r="A7" s="11" t="s">
        <v>7</v>
      </c>
      <c r="B7" s="11" t="s">
        <v>8</v>
      </c>
      <c r="C7" s="11" t="s">
        <v>881</v>
      </c>
      <c r="D7" s="11" t="s">
        <v>882</v>
      </c>
    </row>
    <row r="8" spans="1:4" x14ac:dyDescent="0.35">
      <c r="A8" s="11" t="s">
        <v>9</v>
      </c>
      <c r="B8" s="11" t="s">
        <v>10</v>
      </c>
      <c r="C8" s="11" t="s">
        <v>881</v>
      </c>
      <c r="D8" s="11" t="s">
        <v>882</v>
      </c>
    </row>
    <row r="9" spans="1:4" x14ac:dyDescent="0.35">
      <c r="A9" s="11" t="s">
        <v>12</v>
      </c>
      <c r="B9" s="11" t="s">
        <v>13</v>
      </c>
      <c r="C9" s="11" t="s">
        <v>881</v>
      </c>
      <c r="D9" s="11" t="s">
        <v>882</v>
      </c>
    </row>
    <row r="10" spans="1:4" x14ac:dyDescent="0.35">
      <c r="A10" s="11" t="s">
        <v>14</v>
      </c>
      <c r="B10" s="11" t="s">
        <v>15</v>
      </c>
      <c r="C10" s="11" t="s">
        <v>881</v>
      </c>
      <c r="D10" s="11" t="s">
        <v>882</v>
      </c>
    </row>
    <row r="11" spans="1:4" x14ac:dyDescent="0.35">
      <c r="A11" s="11" t="s">
        <v>16</v>
      </c>
      <c r="B11" s="11" t="s">
        <v>17</v>
      </c>
      <c r="C11" s="11" t="s">
        <v>881</v>
      </c>
      <c r="D11" s="11" t="s">
        <v>17</v>
      </c>
    </row>
    <row r="12" spans="1:4" x14ac:dyDescent="0.35">
      <c r="A12" s="11" t="s">
        <v>18</v>
      </c>
      <c r="B12" s="11" t="s">
        <v>19</v>
      </c>
      <c r="C12" s="11" t="s">
        <v>881</v>
      </c>
      <c r="D12" s="11" t="s">
        <v>19</v>
      </c>
    </row>
    <row r="13" spans="1:4" x14ac:dyDescent="0.35">
      <c r="A13" s="11" t="s">
        <v>20</v>
      </c>
      <c r="B13" s="11" t="s">
        <v>939</v>
      </c>
      <c r="C13" s="11" t="s">
        <v>881</v>
      </c>
      <c r="D13" s="11" t="s">
        <v>885</v>
      </c>
    </row>
    <row r="14" spans="1:4" x14ac:dyDescent="0.35">
      <c r="A14" s="11" t="s">
        <v>35</v>
      </c>
      <c r="B14" s="11" t="s">
        <v>36</v>
      </c>
      <c r="C14" s="11" t="s">
        <v>881</v>
      </c>
      <c r="D14" s="11" t="s">
        <v>885</v>
      </c>
    </row>
    <row r="15" spans="1:4" x14ac:dyDescent="0.35">
      <c r="A15" s="11" t="s">
        <v>37</v>
      </c>
      <c r="B15" s="11" t="s">
        <v>38</v>
      </c>
      <c r="C15" s="11" t="s">
        <v>881</v>
      </c>
      <c r="D15" s="11" t="s">
        <v>885</v>
      </c>
    </row>
    <row r="16" spans="1:4" x14ac:dyDescent="0.35">
      <c r="A16" s="11" t="s">
        <v>39</v>
      </c>
      <c r="B16" s="11" t="s">
        <v>40</v>
      </c>
      <c r="C16" s="11" t="s">
        <v>881</v>
      </c>
      <c r="D16" s="11" t="s">
        <v>885</v>
      </c>
    </row>
    <row r="17" spans="1:4" x14ac:dyDescent="0.35">
      <c r="A17" s="11" t="s">
        <v>41</v>
      </c>
      <c r="B17" s="11" t="s">
        <v>42</v>
      </c>
      <c r="C17" s="11" t="s">
        <v>881</v>
      </c>
      <c r="D17" s="11" t="s">
        <v>885</v>
      </c>
    </row>
    <row r="18" spans="1:4" x14ac:dyDescent="0.35">
      <c r="A18" s="11" t="s">
        <v>43</v>
      </c>
      <c r="B18" s="11" t="s">
        <v>44</v>
      </c>
      <c r="C18" s="11" t="s">
        <v>881</v>
      </c>
      <c r="D18" s="11" t="s">
        <v>885</v>
      </c>
    </row>
    <row r="19" spans="1:4" x14ac:dyDescent="0.35">
      <c r="A19" s="11" t="s">
        <v>940</v>
      </c>
      <c r="B19" s="11" t="s">
        <v>941</v>
      </c>
      <c r="C19" s="11" t="s">
        <v>881</v>
      </c>
      <c r="D19" s="11" t="s">
        <v>885</v>
      </c>
    </row>
    <row r="20" spans="1:4" x14ac:dyDescent="0.35">
      <c r="A20" s="11" t="s">
        <v>942</v>
      </c>
      <c r="B20" s="11" t="s">
        <v>943</v>
      </c>
      <c r="C20" s="11" t="s">
        <v>881</v>
      </c>
      <c r="D20" s="11" t="s">
        <v>885</v>
      </c>
    </row>
    <row r="21" spans="1:4" x14ac:dyDescent="0.35">
      <c r="A21" s="11" t="s">
        <v>47</v>
      </c>
      <c r="B21" s="11" t="s">
        <v>48</v>
      </c>
      <c r="C21" s="11" t="s">
        <v>881</v>
      </c>
      <c r="D21" s="11" t="s">
        <v>48</v>
      </c>
    </row>
    <row r="22" spans="1:4" x14ac:dyDescent="0.35">
      <c r="A22" s="11" t="s">
        <v>49</v>
      </c>
      <c r="B22" s="11" t="s">
        <v>50</v>
      </c>
      <c r="C22" s="11" t="s">
        <v>881</v>
      </c>
      <c r="D22" s="11" t="s">
        <v>48</v>
      </c>
    </row>
    <row r="23" spans="1:4" x14ac:dyDescent="0.35">
      <c r="A23" s="11" t="s">
        <v>944</v>
      </c>
      <c r="B23" s="11" t="s">
        <v>945</v>
      </c>
      <c r="C23" s="11" t="s">
        <v>881</v>
      </c>
      <c r="D23" s="11" t="s">
        <v>946</v>
      </c>
    </row>
    <row r="24" spans="1:4" x14ac:dyDescent="0.35">
      <c r="A24" s="11" t="s">
        <v>51</v>
      </c>
      <c r="B24" s="11" t="s">
        <v>52</v>
      </c>
      <c r="C24" s="11" t="s">
        <v>881</v>
      </c>
      <c r="D24" s="11" t="s">
        <v>886</v>
      </c>
    </row>
    <row r="25" spans="1:4" x14ac:dyDescent="0.35">
      <c r="A25" s="11" t="s">
        <v>53</v>
      </c>
      <c r="B25" s="11" t="s">
        <v>54</v>
      </c>
      <c r="C25" s="11" t="s">
        <v>881</v>
      </c>
      <c r="D25" s="11" t="s">
        <v>886</v>
      </c>
    </row>
    <row r="26" spans="1:4" x14ac:dyDescent="0.35">
      <c r="A26" s="11" t="s">
        <v>55</v>
      </c>
      <c r="B26" s="11" t="s">
        <v>56</v>
      </c>
      <c r="C26" s="11" t="s">
        <v>881</v>
      </c>
      <c r="D26" s="11" t="s">
        <v>886</v>
      </c>
    </row>
    <row r="27" spans="1:4" x14ac:dyDescent="0.35">
      <c r="A27" s="11" t="s">
        <v>57</v>
      </c>
      <c r="B27" s="11" t="s">
        <v>58</v>
      </c>
      <c r="C27" s="11" t="s">
        <v>881</v>
      </c>
      <c r="D27" s="11" t="s">
        <v>886</v>
      </c>
    </row>
    <row r="28" spans="1:4" x14ac:dyDescent="0.35">
      <c r="A28" s="11" t="s">
        <v>59</v>
      </c>
      <c r="B28" s="11" t="s">
        <v>60</v>
      </c>
      <c r="C28" s="11" t="s">
        <v>881</v>
      </c>
      <c r="D28" s="11" t="s">
        <v>886</v>
      </c>
    </row>
    <row r="29" spans="1:4" x14ac:dyDescent="0.35">
      <c r="A29" s="11" t="s">
        <v>61</v>
      </c>
      <c r="B29" s="11" t="s">
        <v>62</v>
      </c>
      <c r="C29" s="11" t="s">
        <v>881</v>
      </c>
      <c r="D29" s="11" t="s">
        <v>886</v>
      </c>
    </row>
    <row r="30" spans="1:4" x14ac:dyDescent="0.35">
      <c r="A30" s="11" t="s">
        <v>63</v>
      </c>
      <c r="B30" s="11" t="s">
        <v>64</v>
      </c>
      <c r="C30" s="11" t="s">
        <v>881</v>
      </c>
      <c r="D30" s="11" t="s">
        <v>64</v>
      </c>
    </row>
    <row r="31" spans="1:4" x14ac:dyDescent="0.35">
      <c r="A31" s="11" t="s">
        <v>65</v>
      </c>
      <c r="B31" s="11" t="s">
        <v>66</v>
      </c>
      <c r="C31" s="11" t="s">
        <v>881</v>
      </c>
      <c r="D31" s="11" t="s">
        <v>66</v>
      </c>
    </row>
    <row r="32" spans="1:4" x14ac:dyDescent="0.35">
      <c r="A32" s="11" t="s">
        <v>67</v>
      </c>
      <c r="B32" s="11" t="s">
        <v>68</v>
      </c>
      <c r="C32" s="11" t="s">
        <v>881</v>
      </c>
      <c r="D32" s="11" t="s">
        <v>68</v>
      </c>
    </row>
    <row r="33" spans="1:4" x14ac:dyDescent="0.35">
      <c r="A33" s="11" t="s">
        <v>69</v>
      </c>
      <c r="B33" s="11" t="s">
        <v>887</v>
      </c>
      <c r="C33" s="11" t="s">
        <v>881</v>
      </c>
      <c r="D33" s="11" t="s">
        <v>887</v>
      </c>
    </row>
    <row r="34" spans="1:4" x14ac:dyDescent="0.35">
      <c r="A34" s="11" t="s">
        <v>71</v>
      </c>
      <c r="B34" s="11" t="s">
        <v>72</v>
      </c>
      <c r="C34" s="11" t="s">
        <v>881</v>
      </c>
      <c r="D34" s="11" t="s">
        <v>72</v>
      </c>
    </row>
    <row r="35" spans="1:4" x14ac:dyDescent="0.35">
      <c r="A35" s="11" t="s">
        <v>73</v>
      </c>
      <c r="B35" s="11" t="s">
        <v>947</v>
      </c>
      <c r="C35" s="11" t="s">
        <v>881</v>
      </c>
      <c r="D35" s="11" t="s">
        <v>888</v>
      </c>
    </row>
    <row r="36" spans="1:4" x14ac:dyDescent="0.35">
      <c r="A36" s="11" t="s">
        <v>948</v>
      </c>
      <c r="B36" s="11" t="s">
        <v>949</v>
      </c>
      <c r="C36" s="11" t="s">
        <v>881</v>
      </c>
      <c r="D36" s="11" t="s">
        <v>949</v>
      </c>
    </row>
    <row r="37" spans="1:4" x14ac:dyDescent="0.35">
      <c r="A37" s="11" t="s">
        <v>77</v>
      </c>
      <c r="B37" s="11" t="s">
        <v>78</v>
      </c>
      <c r="C37" s="11" t="s">
        <v>881</v>
      </c>
      <c r="D37" s="11" t="s">
        <v>889</v>
      </c>
    </row>
    <row r="38" spans="1:4" x14ac:dyDescent="0.35">
      <c r="A38" s="11" t="s">
        <v>79</v>
      </c>
      <c r="B38" s="11" t="s">
        <v>80</v>
      </c>
      <c r="C38" s="11" t="s">
        <v>881</v>
      </c>
      <c r="D38" s="11" t="s">
        <v>889</v>
      </c>
    </row>
    <row r="39" spans="1:4" x14ac:dyDescent="0.35">
      <c r="A39" s="11" t="s">
        <v>81</v>
      </c>
      <c r="B39" s="11" t="s">
        <v>889</v>
      </c>
      <c r="C39" s="11" t="s">
        <v>881</v>
      </c>
      <c r="D39" s="11" t="s">
        <v>889</v>
      </c>
    </row>
    <row r="40" spans="1:4" x14ac:dyDescent="0.35">
      <c r="A40" s="11" t="s">
        <v>85</v>
      </c>
      <c r="B40" s="11" t="s">
        <v>86</v>
      </c>
      <c r="C40" s="11" t="s">
        <v>881</v>
      </c>
      <c r="D40" s="11" t="s">
        <v>890</v>
      </c>
    </row>
    <row r="41" spans="1:4" x14ac:dyDescent="0.35">
      <c r="A41" s="11" t="s">
        <v>87</v>
      </c>
      <c r="B41" s="11" t="s">
        <v>88</v>
      </c>
      <c r="C41" s="11" t="s">
        <v>881</v>
      </c>
      <c r="D41" s="11" t="s">
        <v>890</v>
      </c>
    </row>
    <row r="42" spans="1:4" x14ac:dyDescent="0.35">
      <c r="A42" s="11" t="s">
        <v>89</v>
      </c>
      <c r="B42" s="11" t="s">
        <v>90</v>
      </c>
      <c r="C42" s="11" t="s">
        <v>881</v>
      </c>
      <c r="D42" s="11" t="s">
        <v>890</v>
      </c>
    </row>
    <row r="43" spans="1:4" x14ac:dyDescent="0.35">
      <c r="A43" s="11" t="s">
        <v>91</v>
      </c>
      <c r="B43" s="11" t="s">
        <v>950</v>
      </c>
      <c r="C43" s="11" t="s">
        <v>881</v>
      </c>
      <c r="D43" s="11" t="s">
        <v>890</v>
      </c>
    </row>
    <row r="44" spans="1:4" x14ac:dyDescent="0.35">
      <c r="A44" s="11" t="s">
        <v>95</v>
      </c>
      <c r="B44" s="11" t="s">
        <v>96</v>
      </c>
      <c r="C44" s="11" t="s">
        <v>881</v>
      </c>
      <c r="D44" s="11" t="s">
        <v>890</v>
      </c>
    </row>
    <row r="45" spans="1:4" x14ac:dyDescent="0.35">
      <c r="A45" s="11" t="s">
        <v>951</v>
      </c>
      <c r="B45" s="11" t="s">
        <v>952</v>
      </c>
      <c r="C45" s="11" t="s">
        <v>881</v>
      </c>
      <c r="D45" s="11" t="s">
        <v>890</v>
      </c>
    </row>
    <row r="46" spans="1:4" x14ac:dyDescent="0.35">
      <c r="A46" s="11" t="s">
        <v>97</v>
      </c>
      <c r="B46" s="11" t="s">
        <v>98</v>
      </c>
      <c r="C46" s="11" t="s">
        <v>881</v>
      </c>
      <c r="D46" s="11" t="s">
        <v>98</v>
      </c>
    </row>
    <row r="47" spans="1:4" x14ac:dyDescent="0.35">
      <c r="A47" s="11" t="s">
        <v>112</v>
      </c>
      <c r="B47" s="11" t="s">
        <v>113</v>
      </c>
      <c r="C47" s="11" t="s">
        <v>881</v>
      </c>
      <c r="D47" s="11" t="s">
        <v>98</v>
      </c>
    </row>
    <row r="48" spans="1:4" x14ac:dyDescent="0.35">
      <c r="A48" s="11" t="s">
        <v>114</v>
      </c>
      <c r="B48" s="11" t="s">
        <v>953</v>
      </c>
      <c r="C48" s="11" t="s">
        <v>881</v>
      </c>
      <c r="D48" s="11" t="s">
        <v>98</v>
      </c>
    </row>
    <row r="49" spans="1:4" x14ac:dyDescent="0.35">
      <c r="A49" s="11" t="s">
        <v>134</v>
      </c>
      <c r="B49" s="11" t="s">
        <v>135</v>
      </c>
      <c r="C49" s="11" t="s">
        <v>881</v>
      </c>
      <c r="D49" s="11" t="s">
        <v>889</v>
      </c>
    </row>
    <row r="50" spans="1:4" x14ac:dyDescent="0.35">
      <c r="A50" s="11" t="s">
        <v>136</v>
      </c>
      <c r="B50" s="11" t="s">
        <v>137</v>
      </c>
      <c r="C50" s="11" t="s">
        <v>881</v>
      </c>
      <c r="D50" s="11" t="s">
        <v>889</v>
      </c>
    </row>
    <row r="51" spans="1:4" x14ac:dyDescent="0.35">
      <c r="A51" s="11" t="s">
        <v>138</v>
      </c>
      <c r="B51" s="11" t="s">
        <v>954</v>
      </c>
      <c r="C51" s="11" t="s">
        <v>881</v>
      </c>
      <c r="D51" s="11" t="s">
        <v>889</v>
      </c>
    </row>
    <row r="52" spans="1:4" x14ac:dyDescent="0.35">
      <c r="A52" s="11" t="s">
        <v>140</v>
      </c>
      <c r="B52" s="11" t="s">
        <v>141</v>
      </c>
      <c r="C52" s="11" t="s">
        <v>881</v>
      </c>
      <c r="D52" s="11" t="s">
        <v>889</v>
      </c>
    </row>
    <row r="53" spans="1:4" x14ac:dyDescent="0.35">
      <c r="A53" s="11" t="s">
        <v>149</v>
      </c>
      <c r="B53" s="11" t="s">
        <v>150</v>
      </c>
      <c r="C53" s="11" t="s">
        <v>881</v>
      </c>
      <c r="D53" s="11" t="s">
        <v>98</v>
      </c>
    </row>
    <row r="54" spans="1:4" x14ac:dyDescent="0.35">
      <c r="A54" s="11" t="s">
        <v>955</v>
      </c>
      <c r="B54" s="11" t="s">
        <v>956</v>
      </c>
      <c r="C54" s="11" t="s">
        <v>881</v>
      </c>
      <c r="D54" s="11" t="s">
        <v>889</v>
      </c>
    </row>
    <row r="55" spans="1:4" x14ac:dyDescent="0.35">
      <c r="A55" s="11" t="s">
        <v>957</v>
      </c>
      <c r="B55" s="11" t="s">
        <v>958</v>
      </c>
      <c r="C55" s="11" t="s">
        <v>881</v>
      </c>
      <c r="D55" s="11" t="s">
        <v>889</v>
      </c>
    </row>
    <row r="56" spans="1:4" x14ac:dyDescent="0.35">
      <c r="A56" s="11" t="s">
        <v>959</v>
      </c>
      <c r="B56" s="11" t="s">
        <v>286</v>
      </c>
      <c r="C56" s="11" t="s">
        <v>881</v>
      </c>
      <c r="D56" s="11" t="s">
        <v>889</v>
      </c>
    </row>
    <row r="57" spans="1:4" x14ac:dyDescent="0.35">
      <c r="A57" s="11" t="s">
        <v>151</v>
      </c>
      <c r="B57" s="11" t="s">
        <v>152</v>
      </c>
      <c r="C57" s="11" t="s">
        <v>881</v>
      </c>
      <c r="D57" s="11" t="s">
        <v>889</v>
      </c>
    </row>
    <row r="58" spans="1:4" x14ac:dyDescent="0.35">
      <c r="A58" s="11" t="s">
        <v>153</v>
      </c>
      <c r="B58" s="11" t="s">
        <v>154</v>
      </c>
      <c r="C58" s="11" t="s">
        <v>881</v>
      </c>
      <c r="D58" s="11" t="s">
        <v>889</v>
      </c>
    </row>
    <row r="59" spans="1:4" x14ac:dyDescent="0.35">
      <c r="A59" s="11" t="s">
        <v>155</v>
      </c>
      <c r="B59" s="11" t="s">
        <v>156</v>
      </c>
      <c r="C59" s="11" t="s">
        <v>881</v>
      </c>
      <c r="D59" s="11" t="s">
        <v>889</v>
      </c>
    </row>
    <row r="60" spans="1:4" x14ac:dyDescent="0.35">
      <c r="A60" s="11" t="s">
        <v>159</v>
      </c>
      <c r="B60" s="11" t="s">
        <v>160</v>
      </c>
      <c r="C60" s="11" t="s">
        <v>881</v>
      </c>
      <c r="D60" s="11" t="s">
        <v>889</v>
      </c>
    </row>
    <row r="61" spans="1:4" x14ac:dyDescent="0.35">
      <c r="A61" s="11" t="s">
        <v>163</v>
      </c>
      <c r="B61" s="11" t="s">
        <v>164</v>
      </c>
      <c r="C61" s="11" t="s">
        <v>881</v>
      </c>
      <c r="D61" s="11" t="s">
        <v>889</v>
      </c>
    </row>
    <row r="62" spans="1:4" x14ac:dyDescent="0.35">
      <c r="A62" s="11" t="s">
        <v>165</v>
      </c>
      <c r="B62" s="11" t="s">
        <v>166</v>
      </c>
      <c r="C62" s="11" t="s">
        <v>881</v>
      </c>
      <c r="D62" s="11" t="s">
        <v>166</v>
      </c>
    </row>
    <row r="63" spans="1:4" x14ac:dyDescent="0.35">
      <c r="A63" s="11" t="s">
        <v>167</v>
      </c>
      <c r="B63" s="11" t="s">
        <v>168</v>
      </c>
      <c r="C63" s="11" t="s">
        <v>881</v>
      </c>
      <c r="D63" s="11" t="s">
        <v>168</v>
      </c>
    </row>
    <row r="64" spans="1:4" x14ac:dyDescent="0.35">
      <c r="A64" s="11" t="s">
        <v>169</v>
      </c>
      <c r="B64" s="11" t="s">
        <v>170</v>
      </c>
      <c r="C64" s="11" t="s">
        <v>881</v>
      </c>
      <c r="D64" s="11" t="s">
        <v>891</v>
      </c>
    </row>
    <row r="65" spans="1:4" x14ac:dyDescent="0.35">
      <c r="A65" s="11" t="s">
        <v>171</v>
      </c>
      <c r="B65" s="11" t="s">
        <v>172</v>
      </c>
      <c r="C65" s="11" t="s">
        <v>881</v>
      </c>
      <c r="D65" s="11" t="s">
        <v>892</v>
      </c>
    </row>
    <row r="66" spans="1:4" x14ac:dyDescent="0.35">
      <c r="A66" s="11" t="s">
        <v>960</v>
      </c>
      <c r="B66" s="11" t="s">
        <v>961</v>
      </c>
      <c r="C66" s="11" t="s">
        <v>881</v>
      </c>
      <c r="D66" s="11" t="s">
        <v>962</v>
      </c>
    </row>
    <row r="67" spans="1:4" x14ac:dyDescent="0.35">
      <c r="A67" s="11" t="s">
        <v>963</v>
      </c>
      <c r="B67" s="11" t="s">
        <v>964</v>
      </c>
      <c r="C67" s="11" t="s">
        <v>881</v>
      </c>
      <c r="D67" s="11" t="s">
        <v>892</v>
      </c>
    </row>
    <row r="68" spans="1:4" x14ac:dyDescent="0.35">
      <c r="A68" s="11" t="s">
        <v>965</v>
      </c>
      <c r="B68" s="11" t="s">
        <v>966</v>
      </c>
      <c r="C68" s="11" t="s">
        <v>881</v>
      </c>
      <c r="D68" s="11" t="s">
        <v>962</v>
      </c>
    </row>
    <row r="69" spans="1:4" x14ac:dyDescent="0.35">
      <c r="A69" s="11" t="s">
        <v>967</v>
      </c>
      <c r="B69" s="11" t="s">
        <v>968</v>
      </c>
      <c r="C69" s="11" t="s">
        <v>881</v>
      </c>
      <c r="D69" s="11" t="s">
        <v>892</v>
      </c>
    </row>
    <row r="70" spans="1:4" x14ac:dyDescent="0.35">
      <c r="A70" s="11" t="s">
        <v>173</v>
      </c>
      <c r="B70" s="11" t="s">
        <v>174</v>
      </c>
      <c r="C70" s="11" t="s">
        <v>881</v>
      </c>
      <c r="D70" s="11" t="s">
        <v>174</v>
      </c>
    </row>
    <row r="71" spans="1:4" x14ac:dyDescent="0.35">
      <c r="A71" s="11" t="s">
        <v>969</v>
      </c>
      <c r="B71" s="11" t="s">
        <v>892</v>
      </c>
      <c r="C71" s="11" t="s">
        <v>881</v>
      </c>
      <c r="D71" s="11" t="s">
        <v>892</v>
      </c>
    </row>
    <row r="72" spans="1:4" x14ac:dyDescent="0.35">
      <c r="A72" s="11" t="s">
        <v>175</v>
      </c>
      <c r="B72" s="11" t="s">
        <v>970</v>
      </c>
      <c r="C72" s="11" t="s">
        <v>881</v>
      </c>
      <c r="D72" s="11" t="s">
        <v>893</v>
      </c>
    </row>
    <row r="73" spans="1:4" x14ac:dyDescent="0.35">
      <c r="A73" s="11" t="s">
        <v>191</v>
      </c>
      <c r="B73" s="11" t="s">
        <v>971</v>
      </c>
      <c r="C73" s="11" t="s">
        <v>881</v>
      </c>
      <c r="D73" s="11" t="s">
        <v>893</v>
      </c>
    </row>
    <row r="74" spans="1:4" x14ac:dyDescent="0.35">
      <c r="A74" s="11" t="s">
        <v>209</v>
      </c>
      <c r="B74" s="11" t="s">
        <v>972</v>
      </c>
      <c r="C74" s="11" t="s">
        <v>881</v>
      </c>
      <c r="D74" s="11" t="s">
        <v>893</v>
      </c>
    </row>
    <row r="75" spans="1:4" x14ac:dyDescent="0.35">
      <c r="A75" s="11" t="s">
        <v>213</v>
      </c>
      <c r="B75" s="11" t="s">
        <v>973</v>
      </c>
      <c r="C75" s="11" t="s">
        <v>881</v>
      </c>
      <c r="D75" s="11" t="s">
        <v>894</v>
      </c>
    </row>
    <row r="76" spans="1:4" x14ac:dyDescent="0.35">
      <c r="A76" s="11" t="s">
        <v>974</v>
      </c>
      <c r="B76" s="11" t="s">
        <v>975</v>
      </c>
      <c r="C76" s="11" t="s">
        <v>881</v>
      </c>
      <c r="D76" s="11" t="s">
        <v>975</v>
      </c>
    </row>
    <row r="77" spans="1:4" x14ac:dyDescent="0.35">
      <c r="A77" s="11" t="s">
        <v>976</v>
      </c>
      <c r="B77" s="11" t="s">
        <v>977</v>
      </c>
      <c r="C77" s="11" t="s">
        <v>881</v>
      </c>
      <c r="D77" s="11" t="s">
        <v>977</v>
      </c>
    </row>
    <row r="78" spans="1:4" x14ac:dyDescent="0.35">
      <c r="A78" s="11" t="s">
        <v>214</v>
      </c>
      <c r="B78" s="11" t="s">
        <v>215</v>
      </c>
      <c r="C78" s="11" t="s">
        <v>881</v>
      </c>
      <c r="D78" s="11" t="s">
        <v>215</v>
      </c>
    </row>
    <row r="79" spans="1:4" x14ac:dyDescent="0.35">
      <c r="A79" s="11" t="s">
        <v>216</v>
      </c>
      <c r="B79" s="11" t="s">
        <v>217</v>
      </c>
      <c r="C79" s="11" t="s">
        <v>881</v>
      </c>
      <c r="D79" s="11" t="s">
        <v>217</v>
      </c>
    </row>
    <row r="80" spans="1:4" x14ac:dyDescent="0.35">
      <c r="A80" s="11" t="s">
        <v>218</v>
      </c>
      <c r="B80" s="11" t="s">
        <v>896</v>
      </c>
      <c r="C80" s="11" t="s">
        <v>881</v>
      </c>
      <c r="D80" s="11" t="s">
        <v>896</v>
      </c>
    </row>
    <row r="81" spans="1:4" x14ac:dyDescent="0.35">
      <c r="A81" s="11" t="s">
        <v>219</v>
      </c>
      <c r="B81" s="11" t="s">
        <v>878</v>
      </c>
      <c r="C81" s="11" t="s">
        <v>881</v>
      </c>
      <c r="D81" s="11" t="s">
        <v>896</v>
      </c>
    </row>
    <row r="82" spans="1:4" x14ac:dyDescent="0.35">
      <c r="A82" s="11" t="s">
        <v>221</v>
      </c>
      <c r="B82" s="11" t="s">
        <v>222</v>
      </c>
      <c r="C82" s="11" t="s">
        <v>881</v>
      </c>
      <c r="D82" s="11" t="s">
        <v>222</v>
      </c>
    </row>
    <row r="83" spans="1:4" x14ac:dyDescent="0.35">
      <c r="A83" s="11" t="s">
        <v>223</v>
      </c>
      <c r="B83" s="11" t="s">
        <v>224</v>
      </c>
      <c r="C83" s="11" t="s">
        <v>881</v>
      </c>
      <c r="D83" s="11" t="s">
        <v>224</v>
      </c>
    </row>
    <row r="84" spans="1:4" x14ac:dyDescent="0.35">
      <c r="A84" s="11" t="s">
        <v>978</v>
      </c>
      <c r="B84" s="11" t="s">
        <v>321</v>
      </c>
      <c r="C84" s="11" t="s">
        <v>881</v>
      </c>
      <c r="D84" s="11" t="s">
        <v>226</v>
      </c>
    </row>
    <row r="85" spans="1:4" x14ac:dyDescent="0.35">
      <c r="A85" s="11" t="s">
        <v>225</v>
      </c>
      <c r="B85" s="11" t="s">
        <v>226</v>
      </c>
      <c r="C85" s="11" t="s">
        <v>881</v>
      </c>
      <c r="D85" s="11" t="s">
        <v>226</v>
      </c>
    </row>
    <row r="86" spans="1:4" x14ac:dyDescent="0.35">
      <c r="A86" s="11" t="s">
        <v>979</v>
      </c>
      <c r="B86" s="11" t="s">
        <v>980</v>
      </c>
      <c r="C86" s="11" t="s">
        <v>881</v>
      </c>
      <c r="D86" s="11" t="s">
        <v>980</v>
      </c>
    </row>
    <row r="87" spans="1:4" x14ac:dyDescent="0.35">
      <c r="A87" s="11" t="s">
        <v>981</v>
      </c>
      <c r="B87" s="11" t="s">
        <v>982</v>
      </c>
      <c r="C87" s="11" t="s">
        <v>881</v>
      </c>
      <c r="D87" s="11" t="s">
        <v>982</v>
      </c>
    </row>
    <row r="88" spans="1:4" x14ac:dyDescent="0.35">
      <c r="A88" s="11" t="s">
        <v>227</v>
      </c>
      <c r="B88" s="11" t="s">
        <v>897</v>
      </c>
      <c r="C88" s="11" t="s">
        <v>881</v>
      </c>
      <c r="D88" s="11" t="s">
        <v>897</v>
      </c>
    </row>
    <row r="89" spans="1:4" x14ac:dyDescent="0.35">
      <c r="A89" s="11" t="s">
        <v>231</v>
      </c>
      <c r="B89" s="11" t="s">
        <v>232</v>
      </c>
      <c r="C89" s="11" t="s">
        <v>881</v>
      </c>
      <c r="D89" s="11" t="s">
        <v>898</v>
      </c>
    </row>
    <row r="90" spans="1:4" x14ac:dyDescent="0.35">
      <c r="A90" s="11" t="s">
        <v>233</v>
      </c>
      <c r="B90" s="11" t="s">
        <v>234</v>
      </c>
      <c r="C90" s="11" t="s">
        <v>881</v>
      </c>
      <c r="D90" s="11" t="s">
        <v>898</v>
      </c>
    </row>
    <row r="91" spans="1:4" x14ac:dyDescent="0.35">
      <c r="A91" s="11" t="s">
        <v>235</v>
      </c>
      <c r="B91" s="11" t="s">
        <v>236</v>
      </c>
      <c r="C91" s="11" t="s">
        <v>881</v>
      </c>
      <c r="D91" s="11" t="s">
        <v>898</v>
      </c>
    </row>
    <row r="92" spans="1:4" x14ac:dyDescent="0.35">
      <c r="A92" s="11" t="s">
        <v>237</v>
      </c>
      <c r="B92" s="11" t="s">
        <v>983</v>
      </c>
      <c r="C92" s="11" t="s">
        <v>881</v>
      </c>
      <c r="D92" s="11" t="s">
        <v>898</v>
      </c>
    </row>
    <row r="93" spans="1:4" x14ac:dyDescent="0.35">
      <c r="A93" s="11" t="s">
        <v>984</v>
      </c>
      <c r="B93" s="11" t="s">
        <v>980</v>
      </c>
      <c r="C93" s="11" t="s">
        <v>881</v>
      </c>
      <c r="D93" s="11" t="s">
        <v>980</v>
      </c>
    </row>
    <row r="94" spans="1:4" x14ac:dyDescent="0.35">
      <c r="A94" s="11" t="s">
        <v>985</v>
      </c>
      <c r="B94" s="11" t="s">
        <v>982</v>
      </c>
      <c r="C94" s="11" t="s">
        <v>881</v>
      </c>
      <c r="D94" s="11" t="s">
        <v>986</v>
      </c>
    </row>
    <row r="95" spans="1:4" x14ac:dyDescent="0.35">
      <c r="A95" s="11" t="s">
        <v>243</v>
      </c>
      <c r="B95" s="11" t="s">
        <v>244</v>
      </c>
      <c r="C95" s="11" t="s">
        <v>881</v>
      </c>
      <c r="D95" s="11" t="s">
        <v>897</v>
      </c>
    </row>
    <row r="96" spans="1:4" x14ac:dyDescent="0.35">
      <c r="A96" s="11" t="s">
        <v>245</v>
      </c>
      <c r="B96" s="11" t="s">
        <v>246</v>
      </c>
      <c r="C96" s="11" t="s">
        <v>881</v>
      </c>
      <c r="D96" s="11" t="s">
        <v>897</v>
      </c>
    </row>
    <row r="97" spans="1:4" x14ac:dyDescent="0.35">
      <c r="A97" s="11" t="s">
        <v>987</v>
      </c>
      <c r="B97" s="11" t="s">
        <v>988</v>
      </c>
      <c r="C97" s="11" t="s">
        <v>881</v>
      </c>
      <c r="D97" s="11" t="s">
        <v>897</v>
      </c>
    </row>
    <row r="98" spans="1:4" x14ac:dyDescent="0.35">
      <c r="A98" s="11" t="s">
        <v>247</v>
      </c>
      <c r="B98" s="11" t="s">
        <v>248</v>
      </c>
      <c r="C98" s="11" t="s">
        <v>881</v>
      </c>
      <c r="D98" s="11" t="s">
        <v>248</v>
      </c>
    </row>
    <row r="99" spans="1:4" x14ac:dyDescent="0.35">
      <c r="A99" s="11" t="s">
        <v>989</v>
      </c>
      <c r="B99" s="11" t="s">
        <v>990</v>
      </c>
      <c r="C99" s="11" t="s">
        <v>881</v>
      </c>
      <c r="D99" s="11" t="s">
        <v>248</v>
      </c>
    </row>
    <row r="100" spans="1:4" x14ac:dyDescent="0.35">
      <c r="A100" s="11" t="s">
        <v>249</v>
      </c>
      <c r="B100" s="11" t="s">
        <v>250</v>
      </c>
      <c r="C100" s="11" t="s">
        <v>881</v>
      </c>
      <c r="D100" s="11" t="s">
        <v>868</v>
      </c>
    </row>
    <row r="101" spans="1:4" x14ac:dyDescent="0.35">
      <c r="A101" s="11" t="s">
        <v>251</v>
      </c>
      <c r="B101" s="11" t="s">
        <v>252</v>
      </c>
      <c r="C101" s="11" t="s">
        <v>881</v>
      </c>
      <c r="D101" s="11" t="s">
        <v>868</v>
      </c>
    </row>
    <row r="102" spans="1:4" x14ac:dyDescent="0.35">
      <c r="A102" s="11" t="s">
        <v>253</v>
      </c>
      <c r="B102" s="11" t="s">
        <v>254</v>
      </c>
      <c r="C102" s="11" t="s">
        <v>881</v>
      </c>
      <c r="D102" s="11" t="s">
        <v>868</v>
      </c>
    </row>
    <row r="103" spans="1:4" x14ac:dyDescent="0.35">
      <c r="A103" s="11" t="s">
        <v>255</v>
      </c>
      <c r="B103" s="11" t="s">
        <v>256</v>
      </c>
      <c r="C103" s="11" t="s">
        <v>881</v>
      </c>
      <c r="D103" s="11" t="s">
        <v>899</v>
      </c>
    </row>
    <row r="104" spans="1:4" x14ac:dyDescent="0.35">
      <c r="A104" s="11" t="s">
        <v>257</v>
      </c>
      <c r="B104" s="11" t="s">
        <v>258</v>
      </c>
      <c r="C104" s="11" t="s">
        <v>881</v>
      </c>
      <c r="D104" s="11" t="s">
        <v>899</v>
      </c>
    </row>
    <row r="105" spans="1:4" x14ac:dyDescent="0.35">
      <c r="A105" s="11" t="s">
        <v>259</v>
      </c>
      <c r="B105" s="11" t="s">
        <v>260</v>
      </c>
      <c r="C105" s="11" t="s">
        <v>881</v>
      </c>
      <c r="D105" s="11" t="s">
        <v>899</v>
      </c>
    </row>
    <row r="106" spans="1:4" x14ac:dyDescent="0.35">
      <c r="A106" s="11" t="s">
        <v>261</v>
      </c>
      <c r="B106" s="11" t="s">
        <v>262</v>
      </c>
      <c r="C106" s="11" t="s">
        <v>881</v>
      </c>
      <c r="D106" s="11" t="s">
        <v>899</v>
      </c>
    </row>
    <row r="107" spans="1:4" x14ac:dyDescent="0.35">
      <c r="A107" s="11" t="s">
        <v>263</v>
      </c>
      <c r="B107" s="11" t="s">
        <v>264</v>
      </c>
      <c r="C107" s="11" t="s">
        <v>881</v>
      </c>
      <c r="D107" s="11" t="s">
        <v>899</v>
      </c>
    </row>
    <row r="108" spans="1:4" x14ac:dyDescent="0.35">
      <c r="A108" s="11" t="s">
        <v>265</v>
      </c>
      <c r="B108" s="11" t="s">
        <v>266</v>
      </c>
      <c r="C108" s="11" t="s">
        <v>881</v>
      </c>
      <c r="D108" s="11" t="s">
        <v>899</v>
      </c>
    </row>
    <row r="109" spans="1:4" x14ac:dyDescent="0.35">
      <c r="A109" s="11" t="s">
        <v>267</v>
      </c>
      <c r="B109" s="11" t="s">
        <v>268</v>
      </c>
      <c r="C109" s="11" t="s">
        <v>881</v>
      </c>
      <c r="D109" s="11" t="s">
        <v>899</v>
      </c>
    </row>
    <row r="110" spans="1:4" x14ac:dyDescent="0.35">
      <c r="A110" s="11" t="s">
        <v>269</v>
      </c>
      <c r="B110" s="11" t="s">
        <v>270</v>
      </c>
      <c r="C110" s="11" t="s">
        <v>881</v>
      </c>
      <c r="D110" s="11" t="s">
        <v>899</v>
      </c>
    </row>
    <row r="111" spans="1:4" x14ac:dyDescent="0.35">
      <c r="A111" s="11" t="s">
        <v>271</v>
      </c>
      <c r="B111" s="11" t="s">
        <v>272</v>
      </c>
      <c r="C111" s="11" t="s">
        <v>881</v>
      </c>
      <c r="D111" s="11" t="s">
        <v>899</v>
      </c>
    </row>
    <row r="112" spans="1:4" x14ac:dyDescent="0.35">
      <c r="A112" s="11" t="s">
        <v>273</v>
      </c>
      <c r="B112" s="11" t="s">
        <v>274</v>
      </c>
      <c r="C112" s="11" t="s">
        <v>881</v>
      </c>
      <c r="D112" s="11" t="s">
        <v>899</v>
      </c>
    </row>
    <row r="113" spans="1:4" x14ac:dyDescent="0.35">
      <c r="A113" s="11" t="s">
        <v>275</v>
      </c>
      <c r="B113" s="11" t="s">
        <v>276</v>
      </c>
      <c r="C113" s="11" t="s">
        <v>881</v>
      </c>
      <c r="D113" s="11" t="s">
        <v>899</v>
      </c>
    </row>
    <row r="114" spans="1:4" x14ac:dyDescent="0.35">
      <c r="A114" s="11" t="s">
        <v>277</v>
      </c>
      <c r="B114" s="11" t="s">
        <v>278</v>
      </c>
      <c r="C114" s="11" t="s">
        <v>881</v>
      </c>
      <c r="D114" s="11" t="s">
        <v>899</v>
      </c>
    </row>
    <row r="115" spans="1:4" x14ac:dyDescent="0.35">
      <c r="A115" s="11" t="s">
        <v>279</v>
      </c>
      <c r="B115" s="11" t="s">
        <v>280</v>
      </c>
      <c r="C115" s="11" t="s">
        <v>881</v>
      </c>
      <c r="D115" s="11" t="s">
        <v>899</v>
      </c>
    </row>
    <row r="116" spans="1:4" x14ac:dyDescent="0.35">
      <c r="A116" s="11" t="s">
        <v>281</v>
      </c>
      <c r="B116" s="11" t="s">
        <v>282</v>
      </c>
      <c r="C116" s="11" t="s">
        <v>881</v>
      </c>
      <c r="D116" s="11" t="s">
        <v>899</v>
      </c>
    </row>
    <row r="117" spans="1:4" x14ac:dyDescent="0.35">
      <c r="A117" s="11" t="s">
        <v>283</v>
      </c>
      <c r="B117" s="11" t="s">
        <v>284</v>
      </c>
      <c r="C117" s="11" t="s">
        <v>881</v>
      </c>
      <c r="D117" s="11" t="s">
        <v>899</v>
      </c>
    </row>
    <row r="118" spans="1:4" x14ac:dyDescent="0.35">
      <c r="A118" s="11" t="s">
        <v>285</v>
      </c>
      <c r="B118" s="11" t="s">
        <v>286</v>
      </c>
      <c r="C118" s="11" t="s">
        <v>881</v>
      </c>
      <c r="D118" s="11" t="s">
        <v>899</v>
      </c>
    </row>
    <row r="119" spans="1:4" x14ac:dyDescent="0.35">
      <c r="A119" s="11" t="s">
        <v>287</v>
      </c>
      <c r="B119" s="11" t="s">
        <v>288</v>
      </c>
      <c r="C119" s="11" t="s">
        <v>881</v>
      </c>
      <c r="D119" s="11" t="s">
        <v>899</v>
      </c>
    </row>
    <row r="120" spans="1:4" x14ac:dyDescent="0.35">
      <c r="A120" s="11" t="s">
        <v>289</v>
      </c>
      <c r="B120" s="11" t="s">
        <v>290</v>
      </c>
      <c r="C120" s="11" t="s">
        <v>881</v>
      </c>
      <c r="D120" s="11" t="s">
        <v>899</v>
      </c>
    </row>
    <row r="121" spans="1:4" x14ac:dyDescent="0.35">
      <c r="A121" s="11" t="s">
        <v>291</v>
      </c>
      <c r="B121" s="11" t="s">
        <v>292</v>
      </c>
      <c r="C121" s="11" t="s">
        <v>881</v>
      </c>
      <c r="D121" s="11" t="s">
        <v>899</v>
      </c>
    </row>
    <row r="122" spans="1:4" x14ac:dyDescent="0.35">
      <c r="A122" s="11" t="s">
        <v>293</v>
      </c>
      <c r="B122" s="11" t="s">
        <v>294</v>
      </c>
      <c r="C122" s="11" t="s">
        <v>881</v>
      </c>
      <c r="D122" s="11" t="s">
        <v>899</v>
      </c>
    </row>
    <row r="123" spans="1:4" x14ac:dyDescent="0.35">
      <c r="A123" s="11" t="s">
        <v>991</v>
      </c>
      <c r="B123" s="11" t="s">
        <v>992</v>
      </c>
      <c r="C123" s="11" t="s">
        <v>881</v>
      </c>
      <c r="D123" s="11" t="s">
        <v>325</v>
      </c>
    </row>
    <row r="124" spans="1:4" x14ac:dyDescent="0.35">
      <c r="A124" s="11" t="s">
        <v>295</v>
      </c>
      <c r="B124" s="11" t="s">
        <v>993</v>
      </c>
      <c r="C124" s="11" t="s">
        <v>881</v>
      </c>
      <c r="D124" s="11" t="s">
        <v>325</v>
      </c>
    </row>
    <row r="125" spans="1:4" x14ac:dyDescent="0.35">
      <c r="A125" s="11" t="s">
        <v>299</v>
      </c>
      <c r="B125" s="11" t="s">
        <v>232</v>
      </c>
      <c r="C125" s="11" t="s">
        <v>881</v>
      </c>
      <c r="D125" s="11" t="s">
        <v>325</v>
      </c>
    </row>
    <row r="126" spans="1:4" x14ac:dyDescent="0.35">
      <c r="A126" s="11" t="s">
        <v>300</v>
      </c>
      <c r="B126" s="11" t="s">
        <v>234</v>
      </c>
      <c r="C126" s="11" t="s">
        <v>881</v>
      </c>
      <c r="D126" s="11" t="s">
        <v>325</v>
      </c>
    </row>
    <row r="127" spans="1:4" x14ac:dyDescent="0.35">
      <c r="A127" s="11" t="s">
        <v>301</v>
      </c>
      <c r="B127" s="11" t="s">
        <v>302</v>
      </c>
      <c r="C127" s="11" t="s">
        <v>881</v>
      </c>
      <c r="D127" s="11" t="s">
        <v>325</v>
      </c>
    </row>
    <row r="128" spans="1:4" x14ac:dyDescent="0.35">
      <c r="A128" s="11" t="s">
        <v>303</v>
      </c>
      <c r="B128" s="11" t="s">
        <v>304</v>
      </c>
      <c r="C128" s="11" t="s">
        <v>881</v>
      </c>
      <c r="D128" s="11" t="s">
        <v>325</v>
      </c>
    </row>
    <row r="129" spans="1:4" x14ac:dyDescent="0.35">
      <c r="A129" s="11" t="s">
        <v>307</v>
      </c>
      <c r="B129" s="11" t="s">
        <v>308</v>
      </c>
      <c r="C129" s="11" t="s">
        <v>881</v>
      </c>
      <c r="D129" s="11" t="s">
        <v>325</v>
      </c>
    </row>
    <row r="130" spans="1:4" x14ac:dyDescent="0.35">
      <c r="A130" s="11" t="s">
        <v>309</v>
      </c>
      <c r="B130" s="11" t="s">
        <v>994</v>
      </c>
      <c r="C130" s="11" t="s">
        <v>881</v>
      </c>
      <c r="D130" s="11" t="s">
        <v>325</v>
      </c>
    </row>
    <row r="131" spans="1:4" x14ac:dyDescent="0.35">
      <c r="A131" s="11" t="s">
        <v>320</v>
      </c>
      <c r="B131" s="11" t="s">
        <v>321</v>
      </c>
      <c r="C131" s="11" t="s">
        <v>881</v>
      </c>
      <c r="D131" s="11" t="s">
        <v>325</v>
      </c>
    </row>
    <row r="132" spans="1:4" x14ac:dyDescent="0.35">
      <c r="A132" s="11" t="s">
        <v>322</v>
      </c>
      <c r="B132" s="11" t="s">
        <v>323</v>
      </c>
      <c r="C132" s="11" t="s">
        <v>881</v>
      </c>
      <c r="D132" s="11" t="s">
        <v>325</v>
      </c>
    </row>
    <row r="133" spans="1:4" x14ac:dyDescent="0.35">
      <c r="A133" s="11" t="s">
        <v>324</v>
      </c>
      <c r="B133" s="11" t="s">
        <v>325</v>
      </c>
      <c r="C133" s="11" t="s">
        <v>881</v>
      </c>
      <c r="D133" s="11" t="s">
        <v>325</v>
      </c>
    </row>
    <row r="134" spans="1:4" x14ac:dyDescent="0.35">
      <c r="A134" s="11" t="s">
        <v>328</v>
      </c>
      <c r="B134" s="11" t="s">
        <v>995</v>
      </c>
      <c r="C134" s="11" t="s">
        <v>904</v>
      </c>
      <c r="D134" s="11" t="s">
        <v>903</v>
      </c>
    </row>
    <row r="135" spans="1:4" x14ac:dyDescent="0.35">
      <c r="A135" s="11" t="s">
        <v>370</v>
      </c>
      <c r="B135" s="11" t="s">
        <v>996</v>
      </c>
      <c r="C135" s="11" t="s">
        <v>904</v>
      </c>
      <c r="D135" s="11" t="s">
        <v>903</v>
      </c>
    </row>
    <row r="136" spans="1:4" x14ac:dyDescent="0.35">
      <c r="A136" s="11" t="s">
        <v>389</v>
      </c>
      <c r="B136" s="11" t="s">
        <v>997</v>
      </c>
      <c r="C136" s="11" t="s">
        <v>904</v>
      </c>
      <c r="D136" s="11" t="s">
        <v>903</v>
      </c>
    </row>
    <row r="137" spans="1:4" x14ac:dyDescent="0.35">
      <c r="A137" s="11" t="s">
        <v>399</v>
      </c>
      <c r="B137" s="11" t="s">
        <v>998</v>
      </c>
      <c r="C137" s="11" t="s">
        <v>910</v>
      </c>
      <c r="D137" s="11" t="s">
        <v>903</v>
      </c>
    </row>
    <row r="138" spans="1:4" x14ac:dyDescent="0.35">
      <c r="A138" s="11" t="s">
        <v>409</v>
      </c>
      <c r="B138" s="11" t="s">
        <v>996</v>
      </c>
      <c r="C138" s="11" t="s">
        <v>910</v>
      </c>
      <c r="D138" s="11" t="s">
        <v>903</v>
      </c>
    </row>
    <row r="139" spans="1:4" x14ac:dyDescent="0.35">
      <c r="A139" s="11" t="s">
        <v>999</v>
      </c>
      <c r="B139" s="11" t="s">
        <v>997</v>
      </c>
      <c r="C139" s="11" t="s">
        <v>910</v>
      </c>
      <c r="D139" s="11" t="s">
        <v>903</v>
      </c>
    </row>
    <row r="140" spans="1:4" x14ac:dyDescent="0.35">
      <c r="A140" s="11" t="s">
        <v>1000</v>
      </c>
      <c r="B140" s="11" t="s">
        <v>1001</v>
      </c>
      <c r="C140" s="11" t="s">
        <v>910</v>
      </c>
      <c r="D140" s="11" t="s">
        <v>903</v>
      </c>
    </row>
    <row r="141" spans="1:4" x14ac:dyDescent="0.35">
      <c r="A141" s="11" t="s">
        <v>1002</v>
      </c>
      <c r="B141" s="11" t="s">
        <v>1003</v>
      </c>
      <c r="C141" s="11" t="s">
        <v>911</v>
      </c>
      <c r="D141" s="11" t="s">
        <v>903</v>
      </c>
    </row>
    <row r="142" spans="1:4" x14ac:dyDescent="0.35">
      <c r="A142" s="11" t="s">
        <v>433</v>
      </c>
      <c r="B142" s="11" t="s">
        <v>996</v>
      </c>
      <c r="C142" s="11" t="s">
        <v>911</v>
      </c>
      <c r="D142" s="11" t="s">
        <v>903</v>
      </c>
    </row>
    <row r="143" spans="1:4" x14ac:dyDescent="0.35">
      <c r="A143" s="11" t="s">
        <v>1004</v>
      </c>
      <c r="B143" s="11" t="s">
        <v>997</v>
      </c>
      <c r="C143" s="11" t="s">
        <v>911</v>
      </c>
      <c r="D143" s="11" t="s">
        <v>903</v>
      </c>
    </row>
    <row r="144" spans="1:4" x14ac:dyDescent="0.35">
      <c r="A144" s="11" t="s">
        <v>1005</v>
      </c>
      <c r="B144" s="11" t="s">
        <v>1006</v>
      </c>
      <c r="C144" s="11" t="s">
        <v>881</v>
      </c>
      <c r="D144" s="11" t="s">
        <v>903</v>
      </c>
    </row>
    <row r="145" spans="1:4" x14ac:dyDescent="0.35">
      <c r="A145" s="11" t="s">
        <v>443</v>
      </c>
      <c r="B145" s="11" t="s">
        <v>1007</v>
      </c>
      <c r="C145" s="11" t="s">
        <v>881</v>
      </c>
      <c r="D145" s="11" t="s">
        <v>903</v>
      </c>
    </row>
    <row r="146" spans="1:4" x14ac:dyDescent="0.35">
      <c r="A146" s="11" t="s">
        <v>1008</v>
      </c>
      <c r="B146" s="11" t="s">
        <v>1009</v>
      </c>
      <c r="C146" s="11" t="s">
        <v>881</v>
      </c>
      <c r="D146" s="11" t="s">
        <v>903</v>
      </c>
    </row>
    <row r="147" spans="1:4" x14ac:dyDescent="0.35">
      <c r="A147" s="11" t="s">
        <v>1010</v>
      </c>
      <c r="B147" s="11" t="s">
        <v>1011</v>
      </c>
      <c r="C147" s="11" t="s">
        <v>881</v>
      </c>
      <c r="D147" s="11" t="s">
        <v>903</v>
      </c>
    </row>
    <row r="148" spans="1:4" x14ac:dyDescent="0.35">
      <c r="A148" s="11" t="s">
        <v>1012</v>
      </c>
      <c r="B148" s="11" t="s">
        <v>1013</v>
      </c>
      <c r="C148" s="11" t="s">
        <v>881</v>
      </c>
      <c r="D148" s="11" t="s">
        <v>903</v>
      </c>
    </row>
    <row r="149" spans="1:4" x14ac:dyDescent="0.35">
      <c r="A149" s="11" t="s">
        <v>464</v>
      </c>
      <c r="B149" s="11" t="s">
        <v>1014</v>
      </c>
      <c r="C149" s="11" t="s">
        <v>881</v>
      </c>
      <c r="D149" s="11" t="s">
        <v>903</v>
      </c>
    </row>
    <row r="150" spans="1:4" x14ac:dyDescent="0.35">
      <c r="A150" s="11" t="s">
        <v>466</v>
      </c>
      <c r="B150" s="11" t="s">
        <v>1015</v>
      </c>
      <c r="C150" s="11" t="s">
        <v>881</v>
      </c>
      <c r="D150" s="11" t="s">
        <v>914</v>
      </c>
    </row>
    <row r="151" spans="1:4" x14ac:dyDescent="0.35">
      <c r="A151" s="11" t="s">
        <v>474</v>
      </c>
      <c r="B151" s="11" t="s">
        <v>1016</v>
      </c>
      <c r="C151" s="11" t="s">
        <v>881</v>
      </c>
      <c r="D151" s="11" t="s">
        <v>914</v>
      </c>
    </row>
    <row r="152" spans="1:4" x14ac:dyDescent="0.35">
      <c r="A152" s="11" t="s">
        <v>476</v>
      </c>
      <c r="B152" s="11" t="s">
        <v>1017</v>
      </c>
      <c r="C152" s="11" t="s">
        <v>881</v>
      </c>
      <c r="D152" s="11" t="s">
        <v>914</v>
      </c>
    </row>
    <row r="153" spans="1:4" x14ac:dyDescent="0.35">
      <c r="A153" s="11" t="s">
        <v>478</v>
      </c>
      <c r="B153" s="11" t="s">
        <v>1018</v>
      </c>
      <c r="C153" s="11" t="s">
        <v>904</v>
      </c>
      <c r="D153" s="11" t="s">
        <v>914</v>
      </c>
    </row>
    <row r="154" spans="1:4" x14ac:dyDescent="0.35">
      <c r="A154" s="11" t="s">
        <v>480</v>
      </c>
      <c r="B154" s="11" t="s">
        <v>1019</v>
      </c>
      <c r="C154" s="11" t="s">
        <v>881</v>
      </c>
      <c r="D154" s="11" t="s">
        <v>914</v>
      </c>
    </row>
    <row r="155" spans="1:4" x14ac:dyDescent="0.35">
      <c r="A155" s="11" t="s">
        <v>1020</v>
      </c>
      <c r="B155" s="11" t="s">
        <v>1021</v>
      </c>
      <c r="C155" s="11" t="s">
        <v>881</v>
      </c>
      <c r="D155" s="11" t="s">
        <v>914</v>
      </c>
    </row>
    <row r="156" spans="1:4" x14ac:dyDescent="0.35">
      <c r="A156" s="11" t="s">
        <v>1022</v>
      </c>
      <c r="B156" s="11" t="s">
        <v>1023</v>
      </c>
      <c r="C156" s="11" t="s">
        <v>881</v>
      </c>
      <c r="D156" s="11" t="s">
        <v>914</v>
      </c>
    </row>
    <row r="157" spans="1:4" x14ac:dyDescent="0.35">
      <c r="A157" s="11" t="s">
        <v>484</v>
      </c>
      <c r="B157" s="11" t="s">
        <v>1024</v>
      </c>
      <c r="C157" s="11" t="s">
        <v>881</v>
      </c>
      <c r="D157" s="11" t="s">
        <v>914</v>
      </c>
    </row>
    <row r="158" spans="1:4" x14ac:dyDescent="0.35">
      <c r="A158" s="11" t="s">
        <v>1025</v>
      </c>
      <c r="B158" s="11" t="s">
        <v>1026</v>
      </c>
      <c r="C158" s="11" t="s">
        <v>884</v>
      </c>
      <c r="D158" s="11" t="s">
        <v>920</v>
      </c>
    </row>
    <row r="159" spans="1:4" x14ac:dyDescent="0.35">
      <c r="A159" s="11" t="s">
        <v>525</v>
      </c>
      <c r="B159" s="11" t="s">
        <v>1027</v>
      </c>
      <c r="C159" s="11" t="s">
        <v>884</v>
      </c>
      <c r="D159" s="11" t="s">
        <v>920</v>
      </c>
    </row>
    <row r="160" spans="1:4" x14ac:dyDescent="0.35">
      <c r="A160" s="11" t="s">
        <v>1028</v>
      </c>
      <c r="B160" s="11" t="s">
        <v>1029</v>
      </c>
      <c r="C160" s="11" t="s">
        <v>884</v>
      </c>
      <c r="D160" s="11" t="s">
        <v>920</v>
      </c>
    </row>
    <row r="161" spans="1:4" x14ac:dyDescent="0.35">
      <c r="A161" s="11" t="s">
        <v>1030</v>
      </c>
      <c r="B161" s="11" t="s">
        <v>577</v>
      </c>
      <c r="C161" s="11" t="s">
        <v>881</v>
      </c>
      <c r="D161" s="11" t="s">
        <v>920</v>
      </c>
    </row>
    <row r="162" spans="1:4" x14ac:dyDescent="0.35">
      <c r="A162" s="11" t="s">
        <v>531</v>
      </c>
      <c r="B162" s="11" t="s">
        <v>1031</v>
      </c>
      <c r="C162" s="11" t="s">
        <v>884</v>
      </c>
      <c r="D162" s="11" t="s">
        <v>920</v>
      </c>
    </row>
    <row r="163" spans="1:4" x14ac:dyDescent="0.35">
      <c r="A163" s="11" t="s">
        <v>1032</v>
      </c>
      <c r="B163" s="11" t="s">
        <v>1027</v>
      </c>
      <c r="C163" s="11" t="s">
        <v>884</v>
      </c>
      <c r="D163" s="11" t="s">
        <v>920</v>
      </c>
    </row>
    <row r="164" spans="1:4" x14ac:dyDescent="0.35">
      <c r="A164" s="11" t="s">
        <v>1033</v>
      </c>
      <c r="B164" s="11" t="s">
        <v>1029</v>
      </c>
      <c r="C164" s="11" t="s">
        <v>884</v>
      </c>
      <c r="D164" s="11" t="s">
        <v>920</v>
      </c>
    </row>
    <row r="165" spans="1:4" x14ac:dyDescent="0.35">
      <c r="A165" s="11" t="s">
        <v>1034</v>
      </c>
      <c r="B165" s="11" t="s">
        <v>577</v>
      </c>
      <c r="C165" s="11" t="s">
        <v>881</v>
      </c>
      <c r="D165" s="11" t="s">
        <v>1035</v>
      </c>
    </row>
    <row r="166" spans="1:4" x14ac:dyDescent="0.35">
      <c r="A166" s="11" t="s">
        <v>533</v>
      </c>
      <c r="B166" s="11" t="s">
        <v>534</v>
      </c>
      <c r="C166" s="11" t="s">
        <v>884</v>
      </c>
      <c r="D166" s="11" t="s">
        <v>920</v>
      </c>
    </row>
    <row r="167" spans="1:4" x14ac:dyDescent="0.35">
      <c r="A167" s="11" t="s">
        <v>1036</v>
      </c>
      <c r="B167" s="11" t="s">
        <v>1027</v>
      </c>
      <c r="C167" s="11" t="s">
        <v>884</v>
      </c>
      <c r="D167" s="11" t="s">
        <v>920</v>
      </c>
    </row>
    <row r="168" spans="1:4" x14ac:dyDescent="0.35">
      <c r="A168" s="11" t="s">
        <v>551</v>
      </c>
      <c r="B168" s="11" t="s">
        <v>1029</v>
      </c>
      <c r="C168" s="11" t="s">
        <v>884</v>
      </c>
      <c r="D168" s="11" t="s">
        <v>920</v>
      </c>
    </row>
    <row r="169" spans="1:4" x14ac:dyDescent="0.35">
      <c r="A169" s="11" t="s">
        <v>553</v>
      </c>
      <c r="B169" s="11" t="s">
        <v>577</v>
      </c>
      <c r="C169" s="11" t="s">
        <v>881</v>
      </c>
      <c r="D169" s="11" t="s">
        <v>1035</v>
      </c>
    </row>
    <row r="170" spans="1:4" x14ac:dyDescent="0.35">
      <c r="A170" s="11" t="s">
        <v>1037</v>
      </c>
      <c r="B170" s="11" t="s">
        <v>1038</v>
      </c>
      <c r="C170" s="11" t="s">
        <v>884</v>
      </c>
      <c r="D170" s="11" t="s">
        <v>920</v>
      </c>
    </row>
    <row r="171" spans="1:4" x14ac:dyDescent="0.35">
      <c r="A171" s="11" t="s">
        <v>565</v>
      </c>
      <c r="B171" s="11" t="s">
        <v>1027</v>
      </c>
      <c r="C171" s="11" t="s">
        <v>884</v>
      </c>
      <c r="D171" s="11" t="s">
        <v>920</v>
      </c>
    </row>
    <row r="172" spans="1:4" x14ac:dyDescent="0.35">
      <c r="A172" s="11" t="s">
        <v>567</v>
      </c>
      <c r="B172" s="11" t="s">
        <v>1029</v>
      </c>
      <c r="C172" s="11" t="s">
        <v>884</v>
      </c>
      <c r="D172" s="11" t="s">
        <v>920</v>
      </c>
    </row>
    <row r="173" spans="1:4" x14ac:dyDescent="0.35">
      <c r="A173" s="11" t="s">
        <v>576</v>
      </c>
      <c r="B173" s="11" t="s">
        <v>577</v>
      </c>
      <c r="C173" s="11" t="s">
        <v>881</v>
      </c>
      <c r="D173" s="11" t="s">
        <v>920</v>
      </c>
    </row>
    <row r="174" spans="1:4" x14ac:dyDescent="0.35">
      <c r="A174" s="11" t="s">
        <v>578</v>
      </c>
      <c r="B174" s="11" t="s">
        <v>579</v>
      </c>
      <c r="C174" s="11" t="s">
        <v>884</v>
      </c>
      <c r="D174" s="11" t="s">
        <v>920</v>
      </c>
    </row>
    <row r="175" spans="1:4" x14ac:dyDescent="0.35">
      <c r="A175" s="11" t="s">
        <v>1039</v>
      </c>
      <c r="B175" s="11" t="s">
        <v>577</v>
      </c>
      <c r="C175" s="11" t="s">
        <v>881</v>
      </c>
      <c r="D175" s="11" t="s">
        <v>920</v>
      </c>
    </row>
    <row r="176" spans="1:4" x14ac:dyDescent="0.35">
      <c r="A176" s="11" t="s">
        <v>582</v>
      </c>
      <c r="B176" s="11" t="s">
        <v>583</v>
      </c>
      <c r="C176" s="11" t="s">
        <v>881</v>
      </c>
      <c r="D176" s="11" t="s">
        <v>920</v>
      </c>
    </row>
    <row r="177" spans="1:4" x14ac:dyDescent="0.35">
      <c r="A177" s="11" t="s">
        <v>1040</v>
      </c>
      <c r="B177" s="11" t="s">
        <v>1041</v>
      </c>
      <c r="C177" s="11" t="s">
        <v>881</v>
      </c>
      <c r="D177" s="11" t="s">
        <v>1042</v>
      </c>
    </row>
    <row r="178" spans="1:4" x14ac:dyDescent="0.35">
      <c r="A178" s="11" t="s">
        <v>584</v>
      </c>
      <c r="B178" s="11" t="s">
        <v>585</v>
      </c>
      <c r="C178" s="11" t="s">
        <v>881</v>
      </c>
      <c r="D178" s="11" t="s">
        <v>925</v>
      </c>
    </row>
    <row r="179" spans="1:4" x14ac:dyDescent="0.35">
      <c r="A179" s="11" t="s">
        <v>592</v>
      </c>
      <c r="B179" s="11" t="s">
        <v>593</v>
      </c>
      <c r="C179" s="11" t="s">
        <v>881</v>
      </c>
      <c r="D179" s="11" t="s">
        <v>925</v>
      </c>
    </row>
    <row r="180" spans="1:4" x14ac:dyDescent="0.35">
      <c r="A180" s="11" t="s">
        <v>594</v>
      </c>
      <c r="B180" s="11" t="s">
        <v>595</v>
      </c>
      <c r="C180" s="11" t="s">
        <v>881</v>
      </c>
      <c r="D180" s="11" t="s">
        <v>925</v>
      </c>
    </row>
    <row r="181" spans="1:4" x14ac:dyDescent="0.35">
      <c r="A181" s="11" t="s">
        <v>596</v>
      </c>
      <c r="B181" s="11" t="s">
        <v>597</v>
      </c>
      <c r="C181" s="11" t="s">
        <v>881</v>
      </c>
      <c r="D181" s="11" t="s">
        <v>925</v>
      </c>
    </row>
    <row r="182" spans="1:4" x14ac:dyDescent="0.35">
      <c r="A182" s="11" t="s">
        <v>1043</v>
      </c>
      <c r="B182" s="11" t="s">
        <v>585</v>
      </c>
      <c r="C182" s="11" t="s">
        <v>881</v>
      </c>
      <c r="D182" s="11" t="s">
        <v>925</v>
      </c>
    </row>
    <row r="183" spans="1:4" x14ac:dyDescent="0.35">
      <c r="A183" s="11" t="s">
        <v>1044</v>
      </c>
      <c r="B183" s="11" t="s">
        <v>593</v>
      </c>
      <c r="C183" s="11" t="s">
        <v>881</v>
      </c>
      <c r="D183" s="11" t="s">
        <v>925</v>
      </c>
    </row>
    <row r="184" spans="1:4" x14ac:dyDescent="0.35">
      <c r="A184" s="11" t="s">
        <v>598</v>
      </c>
      <c r="B184" s="11" t="s">
        <v>599</v>
      </c>
      <c r="C184" s="11" t="s">
        <v>881</v>
      </c>
      <c r="D184" s="11" t="s">
        <v>925</v>
      </c>
    </row>
    <row r="185" spans="1:4" x14ac:dyDescent="0.35">
      <c r="A185" s="11" t="s">
        <v>600</v>
      </c>
      <c r="B185" s="11" t="s">
        <v>601</v>
      </c>
      <c r="C185" s="11" t="s">
        <v>881</v>
      </c>
      <c r="D185" s="11" t="s">
        <v>925</v>
      </c>
    </row>
    <row r="186" spans="1:4" x14ac:dyDescent="0.35">
      <c r="A186" s="11" t="s">
        <v>602</v>
      </c>
      <c r="B186" s="11" t="s">
        <v>603</v>
      </c>
      <c r="C186" s="11" t="s">
        <v>881</v>
      </c>
      <c r="D186" s="11" t="s">
        <v>925</v>
      </c>
    </row>
    <row r="187" spans="1:4" x14ac:dyDescent="0.35">
      <c r="A187" s="11" t="s">
        <v>604</v>
      </c>
      <c r="B187" s="11" t="s">
        <v>605</v>
      </c>
      <c r="C187" s="11" t="s">
        <v>881</v>
      </c>
      <c r="D187" s="11" t="s">
        <v>925</v>
      </c>
    </row>
    <row r="188" spans="1:4" x14ac:dyDescent="0.35">
      <c r="A188" s="11" t="s">
        <v>606</v>
      </c>
      <c r="B188" s="11" t="s">
        <v>607</v>
      </c>
      <c r="C188" s="11" t="s">
        <v>881</v>
      </c>
      <c r="D188" s="11" t="s">
        <v>925</v>
      </c>
    </row>
    <row r="189" spans="1:4" x14ac:dyDescent="0.35">
      <c r="A189" s="11" t="s">
        <v>608</v>
      </c>
      <c r="B189" s="11" t="s">
        <v>1045</v>
      </c>
      <c r="C189" s="11" t="s">
        <v>881</v>
      </c>
      <c r="D189" s="11" t="s">
        <v>925</v>
      </c>
    </row>
    <row r="190" spans="1:4" x14ac:dyDescent="0.35">
      <c r="A190" s="11" t="s">
        <v>610</v>
      </c>
      <c r="B190" s="11" t="s">
        <v>1046</v>
      </c>
      <c r="C190" s="11" t="s">
        <v>881</v>
      </c>
      <c r="D190" s="11" t="s">
        <v>925</v>
      </c>
    </row>
    <row r="191" spans="1:4" x14ac:dyDescent="0.35">
      <c r="A191" s="11" t="s">
        <v>612</v>
      </c>
      <c r="B191" s="11" t="s">
        <v>613</v>
      </c>
      <c r="C191" s="11" t="s">
        <v>881</v>
      </c>
      <c r="D191" s="11" t="s">
        <v>925</v>
      </c>
    </row>
    <row r="192" spans="1:4" x14ac:dyDescent="0.35">
      <c r="A192" s="11" t="s">
        <v>614</v>
      </c>
      <c r="B192" s="11" t="s">
        <v>615</v>
      </c>
      <c r="C192" s="11" t="s">
        <v>881</v>
      </c>
      <c r="D192" s="11" t="s">
        <v>925</v>
      </c>
    </row>
    <row r="193" spans="1:4" x14ac:dyDescent="0.35">
      <c r="A193" s="11" t="s">
        <v>616</v>
      </c>
      <c r="B193" s="11" t="s">
        <v>617</v>
      </c>
      <c r="C193" s="11" t="s">
        <v>881</v>
      </c>
      <c r="D193" s="11" t="s">
        <v>925</v>
      </c>
    </row>
    <row r="194" spans="1:4" x14ac:dyDescent="0.35">
      <c r="A194" s="11" t="s">
        <v>1047</v>
      </c>
      <c r="B194" s="11" t="s">
        <v>1048</v>
      </c>
      <c r="C194" s="11" t="s">
        <v>881</v>
      </c>
      <c r="D194" s="11" t="s">
        <v>925</v>
      </c>
    </row>
    <row r="195" spans="1:4" x14ac:dyDescent="0.35">
      <c r="A195" s="11" t="s">
        <v>620</v>
      </c>
      <c r="B195" s="11" t="s">
        <v>1049</v>
      </c>
      <c r="C195" s="11" t="s">
        <v>881</v>
      </c>
      <c r="D195" s="11" t="s">
        <v>925</v>
      </c>
    </row>
    <row r="196" spans="1:4" x14ac:dyDescent="0.35">
      <c r="A196" s="11" t="s">
        <v>622</v>
      </c>
      <c r="B196" s="11" t="s">
        <v>1050</v>
      </c>
      <c r="C196" s="11" t="s">
        <v>881</v>
      </c>
      <c r="D196" s="11" t="s">
        <v>925</v>
      </c>
    </row>
    <row r="197" spans="1:4" x14ac:dyDescent="0.35">
      <c r="A197" s="11" t="s">
        <v>623</v>
      </c>
      <c r="B197" s="11" t="s">
        <v>927</v>
      </c>
      <c r="C197" s="11" t="s">
        <v>881</v>
      </c>
      <c r="D197" s="11" t="s">
        <v>925</v>
      </c>
    </row>
    <row r="198" spans="1:4" x14ac:dyDescent="0.35">
      <c r="A198" s="11" t="s">
        <v>624</v>
      </c>
      <c r="B198" s="11" t="s">
        <v>625</v>
      </c>
      <c r="C198" s="11" t="s">
        <v>881</v>
      </c>
      <c r="D198" s="11" t="s">
        <v>925</v>
      </c>
    </row>
    <row r="199" spans="1:4" x14ac:dyDescent="0.35">
      <c r="A199" s="11" t="s">
        <v>626</v>
      </c>
      <c r="B199" s="11" t="s">
        <v>627</v>
      </c>
      <c r="C199" s="11" t="s">
        <v>881</v>
      </c>
      <c r="D199" s="11" t="s">
        <v>925</v>
      </c>
    </row>
    <row r="200" spans="1:4" x14ac:dyDescent="0.35">
      <c r="A200" s="11" t="s">
        <v>628</v>
      </c>
      <c r="B200" s="11" t="s">
        <v>1051</v>
      </c>
      <c r="C200" s="11" t="s">
        <v>881</v>
      </c>
      <c r="D200" s="11" t="s">
        <v>925</v>
      </c>
    </row>
    <row r="201" spans="1:4" x14ac:dyDescent="0.35">
      <c r="A201" s="11" t="s">
        <v>632</v>
      </c>
      <c r="B201" s="11" t="s">
        <v>633</v>
      </c>
      <c r="C201" s="11" t="s">
        <v>881</v>
      </c>
      <c r="D201" s="11" t="s">
        <v>925</v>
      </c>
    </row>
    <row r="202" spans="1:4" x14ac:dyDescent="0.35">
      <c r="A202" s="11" t="s">
        <v>1052</v>
      </c>
      <c r="B202" s="11" t="s">
        <v>1053</v>
      </c>
      <c r="C202" s="11" t="s">
        <v>881</v>
      </c>
      <c r="D202" s="11" t="s">
        <v>925</v>
      </c>
    </row>
    <row r="203" spans="1:4" x14ac:dyDescent="0.35">
      <c r="A203" s="11" t="s">
        <v>634</v>
      </c>
      <c r="B203" s="11" t="s">
        <v>635</v>
      </c>
      <c r="C203" s="11" t="s">
        <v>881</v>
      </c>
      <c r="D203" s="11" t="s">
        <v>925</v>
      </c>
    </row>
    <row r="204" spans="1:4" x14ac:dyDescent="0.35">
      <c r="A204" s="11" t="s">
        <v>636</v>
      </c>
      <c r="B204" s="11" t="s">
        <v>637</v>
      </c>
      <c r="C204" s="11" t="s">
        <v>881</v>
      </c>
      <c r="D204" s="11" t="s">
        <v>925</v>
      </c>
    </row>
    <row r="205" spans="1:4" x14ac:dyDescent="0.35">
      <c r="A205" s="11" t="s">
        <v>638</v>
      </c>
      <c r="B205" s="11" t="s">
        <v>1054</v>
      </c>
      <c r="C205" s="11" t="s">
        <v>881</v>
      </c>
      <c r="D205" s="11" t="s">
        <v>925</v>
      </c>
    </row>
    <row r="206" spans="1:4" x14ac:dyDescent="0.35">
      <c r="A206" s="11" t="s">
        <v>640</v>
      </c>
      <c r="B206" s="11" t="s">
        <v>1055</v>
      </c>
      <c r="C206" s="11" t="s">
        <v>881</v>
      </c>
      <c r="D206" s="11" t="s">
        <v>925</v>
      </c>
    </row>
    <row r="207" spans="1:4" x14ac:dyDescent="0.35">
      <c r="A207" s="11" t="s">
        <v>642</v>
      </c>
      <c r="B207" s="11" t="s">
        <v>643</v>
      </c>
      <c r="C207" s="11" t="s">
        <v>881</v>
      </c>
      <c r="D207" s="11" t="s">
        <v>925</v>
      </c>
    </row>
    <row r="208" spans="1:4" x14ac:dyDescent="0.35">
      <c r="A208" s="11" t="s">
        <v>644</v>
      </c>
      <c r="B208" s="11" t="s">
        <v>645</v>
      </c>
      <c r="C208" s="11" t="s">
        <v>881</v>
      </c>
      <c r="D208" s="11" t="s">
        <v>925</v>
      </c>
    </row>
    <row r="209" spans="1:4" x14ac:dyDescent="0.35">
      <c r="A209" s="11" t="s">
        <v>646</v>
      </c>
      <c r="B209" s="11" t="s">
        <v>647</v>
      </c>
      <c r="C209" s="11" t="s">
        <v>881</v>
      </c>
      <c r="D209" s="11" t="s">
        <v>925</v>
      </c>
    </row>
    <row r="210" spans="1:4" x14ac:dyDescent="0.35">
      <c r="A210" s="11" t="s">
        <v>648</v>
      </c>
      <c r="B210" s="11" t="s">
        <v>649</v>
      </c>
      <c r="C210" s="11" t="s">
        <v>881</v>
      </c>
      <c r="D210" s="11" t="s">
        <v>925</v>
      </c>
    </row>
    <row r="211" spans="1:4" x14ac:dyDescent="0.35">
      <c r="A211" s="11" t="s">
        <v>650</v>
      </c>
      <c r="B211" s="11" t="s">
        <v>651</v>
      </c>
      <c r="C211" s="11" t="s">
        <v>881</v>
      </c>
      <c r="D211" s="11" t="s">
        <v>925</v>
      </c>
    </row>
    <row r="212" spans="1:4" x14ac:dyDescent="0.35">
      <c r="A212" s="11" t="s">
        <v>652</v>
      </c>
      <c r="B212" s="11" t="s">
        <v>653</v>
      </c>
      <c r="C212" s="11" t="s">
        <v>881</v>
      </c>
      <c r="D212" s="11" t="s">
        <v>925</v>
      </c>
    </row>
    <row r="213" spans="1:4" x14ac:dyDescent="0.35">
      <c r="A213" s="11" t="s">
        <v>654</v>
      </c>
      <c r="B213" s="11" t="s">
        <v>655</v>
      </c>
      <c r="C213" s="11" t="s">
        <v>881</v>
      </c>
      <c r="D213" s="11" t="s">
        <v>925</v>
      </c>
    </row>
    <row r="214" spans="1:4" x14ac:dyDescent="0.35">
      <c r="A214" s="11" t="s">
        <v>1056</v>
      </c>
      <c r="B214" s="11" t="s">
        <v>1057</v>
      </c>
      <c r="C214" s="11" t="s">
        <v>881</v>
      </c>
      <c r="D214" s="11" t="s">
        <v>925</v>
      </c>
    </row>
    <row r="215" spans="1:4" x14ac:dyDescent="0.35">
      <c r="A215" s="11" t="s">
        <v>660</v>
      </c>
      <c r="B215" s="11" t="s">
        <v>661</v>
      </c>
      <c r="C215" s="11" t="s">
        <v>881</v>
      </c>
      <c r="D215" s="11" t="s">
        <v>925</v>
      </c>
    </row>
    <row r="216" spans="1:4" x14ac:dyDescent="0.35">
      <c r="A216" s="11" t="s">
        <v>662</v>
      </c>
      <c r="B216" s="11" t="s">
        <v>663</v>
      </c>
      <c r="C216" s="11" t="s">
        <v>881</v>
      </c>
      <c r="D216" s="11" t="s">
        <v>925</v>
      </c>
    </row>
    <row r="217" spans="1:4" x14ac:dyDescent="0.35">
      <c r="A217" s="11" t="s">
        <v>664</v>
      </c>
      <c r="B217" s="11" t="s">
        <v>665</v>
      </c>
      <c r="C217" s="11" t="s">
        <v>881</v>
      </c>
      <c r="D217" s="11" t="s">
        <v>925</v>
      </c>
    </row>
    <row r="218" spans="1:4" x14ac:dyDescent="0.35">
      <c r="A218" s="11" t="s">
        <v>666</v>
      </c>
      <c r="B218" s="11" t="s">
        <v>667</v>
      </c>
      <c r="C218" s="11" t="s">
        <v>881</v>
      </c>
      <c r="D218" s="11" t="s">
        <v>925</v>
      </c>
    </row>
    <row r="219" spans="1:4" x14ac:dyDescent="0.35">
      <c r="A219" s="11" t="s">
        <v>672</v>
      </c>
      <c r="B219" s="11" t="s">
        <v>673</v>
      </c>
      <c r="C219" s="11" t="s">
        <v>881</v>
      </c>
      <c r="D219" s="11" t="s">
        <v>928</v>
      </c>
    </row>
    <row r="220" spans="1:4" x14ac:dyDescent="0.35">
      <c r="A220" s="11" t="s">
        <v>674</v>
      </c>
      <c r="B220" s="11" t="s">
        <v>1058</v>
      </c>
      <c r="C220" s="11" t="s">
        <v>881</v>
      </c>
      <c r="D220" s="11" t="s">
        <v>928</v>
      </c>
    </row>
    <row r="221" spans="1:4" x14ac:dyDescent="0.35">
      <c r="A221" s="11" t="s">
        <v>677</v>
      </c>
      <c r="B221" s="11" t="s">
        <v>678</v>
      </c>
      <c r="C221" s="11" t="s">
        <v>881</v>
      </c>
      <c r="D221" s="11" t="s">
        <v>928</v>
      </c>
    </row>
    <row r="222" spans="1:4" x14ac:dyDescent="0.35">
      <c r="A222" s="11" t="s">
        <v>679</v>
      </c>
      <c r="B222" s="11" t="s">
        <v>680</v>
      </c>
      <c r="C222" s="11" t="s">
        <v>881</v>
      </c>
      <c r="D222" s="11" t="s">
        <v>929</v>
      </c>
    </row>
    <row r="223" spans="1:4" x14ac:dyDescent="0.35">
      <c r="A223" s="11" t="s">
        <v>681</v>
      </c>
      <c r="B223" s="11" t="s">
        <v>1059</v>
      </c>
      <c r="C223" s="11" t="s">
        <v>884</v>
      </c>
      <c r="D223" s="11" t="s">
        <v>930</v>
      </c>
    </row>
    <row r="224" spans="1:4" x14ac:dyDescent="0.35">
      <c r="A224" s="11" t="s">
        <v>683</v>
      </c>
      <c r="B224" s="11" t="s">
        <v>1060</v>
      </c>
      <c r="C224" s="11" t="s">
        <v>884</v>
      </c>
      <c r="D224" s="11" t="s">
        <v>930</v>
      </c>
    </row>
    <row r="225" spans="1:4" x14ac:dyDescent="0.35">
      <c r="A225" s="11" t="s">
        <v>1061</v>
      </c>
      <c r="B225" s="11" t="s">
        <v>1062</v>
      </c>
      <c r="C225" s="11" t="s">
        <v>884</v>
      </c>
      <c r="D225" s="11" t="s">
        <v>930</v>
      </c>
    </row>
    <row r="226" spans="1:4" x14ac:dyDescent="0.35">
      <c r="A226" s="11" t="s">
        <v>1063</v>
      </c>
      <c r="B226" s="11" t="s">
        <v>1064</v>
      </c>
      <c r="C226" s="11" t="s">
        <v>884</v>
      </c>
      <c r="D226" s="11" t="s">
        <v>930</v>
      </c>
    </row>
    <row r="227" spans="1:4" x14ac:dyDescent="0.35">
      <c r="A227" s="11" t="s">
        <v>685</v>
      </c>
      <c r="B227" s="11" t="s">
        <v>686</v>
      </c>
      <c r="C227" s="11" t="s">
        <v>884</v>
      </c>
      <c r="D227" s="11" t="s">
        <v>930</v>
      </c>
    </row>
    <row r="228" spans="1:4" x14ac:dyDescent="0.35">
      <c r="A228" s="11" t="s">
        <v>687</v>
      </c>
      <c r="B228" s="11" t="s">
        <v>688</v>
      </c>
      <c r="C228" s="11" t="s">
        <v>884</v>
      </c>
      <c r="D228" s="11" t="s">
        <v>930</v>
      </c>
    </row>
    <row r="229" spans="1:4" x14ac:dyDescent="0.35">
      <c r="A229" s="11" t="s">
        <v>1065</v>
      </c>
      <c r="B229" s="11" t="s">
        <v>1066</v>
      </c>
      <c r="C229" s="11" t="s">
        <v>884</v>
      </c>
      <c r="D229" s="11" t="s">
        <v>930</v>
      </c>
    </row>
    <row r="230" spans="1:4" x14ac:dyDescent="0.35">
      <c r="A230" s="11" t="s">
        <v>689</v>
      </c>
      <c r="B230" s="11" t="s">
        <v>690</v>
      </c>
      <c r="C230" s="11" t="s">
        <v>884</v>
      </c>
      <c r="D230" s="11" t="s">
        <v>930</v>
      </c>
    </row>
    <row r="231" spans="1:4" x14ac:dyDescent="0.35">
      <c r="A231" s="11" t="s">
        <v>1067</v>
      </c>
      <c r="B231" s="11" t="s">
        <v>1068</v>
      </c>
      <c r="C231" s="11" t="s">
        <v>884</v>
      </c>
      <c r="D231" s="11" t="s">
        <v>930</v>
      </c>
    </row>
    <row r="232" spans="1:4" x14ac:dyDescent="0.35">
      <c r="A232" s="11" t="s">
        <v>1069</v>
      </c>
      <c r="B232" s="11" t="s">
        <v>1070</v>
      </c>
      <c r="C232" s="11" t="s">
        <v>884</v>
      </c>
      <c r="D232" s="11" t="s">
        <v>930</v>
      </c>
    </row>
    <row r="233" spans="1:4" x14ac:dyDescent="0.35">
      <c r="A233" s="11" t="s">
        <v>1071</v>
      </c>
      <c r="B233" s="11" t="s">
        <v>1072</v>
      </c>
      <c r="C233" s="11" t="s">
        <v>884</v>
      </c>
      <c r="D233" s="11" t="s">
        <v>930</v>
      </c>
    </row>
    <row r="234" spans="1:4" x14ac:dyDescent="0.35">
      <c r="A234" s="11" t="s">
        <v>691</v>
      </c>
      <c r="B234" s="11" t="s">
        <v>692</v>
      </c>
      <c r="C234" s="11" t="s">
        <v>884</v>
      </c>
      <c r="D234" s="11" t="s">
        <v>930</v>
      </c>
    </row>
    <row r="235" spans="1:4" x14ac:dyDescent="0.35">
      <c r="A235" s="11" t="s">
        <v>693</v>
      </c>
      <c r="B235" s="11" t="s">
        <v>1073</v>
      </c>
      <c r="C235" s="11" t="s">
        <v>884</v>
      </c>
      <c r="D235" s="11" t="s">
        <v>930</v>
      </c>
    </row>
    <row r="236" spans="1:4" x14ac:dyDescent="0.35">
      <c r="A236" s="11" t="s">
        <v>697</v>
      </c>
      <c r="B236" s="11" t="s">
        <v>1074</v>
      </c>
      <c r="C236" s="11" t="s">
        <v>884</v>
      </c>
      <c r="D236" s="11" t="s">
        <v>930</v>
      </c>
    </row>
    <row r="237" spans="1:4" x14ac:dyDescent="0.35">
      <c r="A237" s="11" t="s">
        <v>699</v>
      </c>
      <c r="B237" s="11" t="s">
        <v>1075</v>
      </c>
      <c r="C237" s="11" t="s">
        <v>884</v>
      </c>
      <c r="D237" s="11" t="s">
        <v>930</v>
      </c>
    </row>
    <row r="238" spans="1:4" x14ac:dyDescent="0.35">
      <c r="A238" s="11" t="s">
        <v>703</v>
      </c>
      <c r="B238" s="11" t="s">
        <v>1076</v>
      </c>
      <c r="C238" s="11" t="s">
        <v>884</v>
      </c>
      <c r="D238" s="11" t="s">
        <v>930</v>
      </c>
    </row>
    <row r="239" spans="1:4" x14ac:dyDescent="0.35">
      <c r="A239" s="11" t="s">
        <v>707</v>
      </c>
      <c r="B239" s="11" t="s">
        <v>1077</v>
      </c>
      <c r="C239" s="11" t="s">
        <v>884</v>
      </c>
      <c r="D239" s="11" t="s">
        <v>930</v>
      </c>
    </row>
    <row r="240" spans="1:4" x14ac:dyDescent="0.35">
      <c r="A240" s="11" t="s">
        <v>709</v>
      </c>
      <c r="B240" s="11" t="s">
        <v>710</v>
      </c>
      <c r="C240" s="11" t="s">
        <v>884</v>
      </c>
      <c r="D240" s="11" t="s">
        <v>930</v>
      </c>
    </row>
    <row r="241" spans="1:4" x14ac:dyDescent="0.35">
      <c r="A241" s="11" t="s">
        <v>711</v>
      </c>
      <c r="B241" s="11" t="s">
        <v>1078</v>
      </c>
      <c r="C241" s="11" t="s">
        <v>884</v>
      </c>
      <c r="D241" s="11" t="s">
        <v>930</v>
      </c>
    </row>
    <row r="242" spans="1:4" x14ac:dyDescent="0.35">
      <c r="A242" s="11" t="s">
        <v>713</v>
      </c>
      <c r="B242" s="11" t="s">
        <v>1079</v>
      </c>
      <c r="C242" s="11" t="s">
        <v>884</v>
      </c>
      <c r="D242" s="11" t="s">
        <v>930</v>
      </c>
    </row>
    <row r="243" spans="1:4" x14ac:dyDescent="0.35">
      <c r="A243" s="11" t="s">
        <v>715</v>
      </c>
      <c r="B243" s="11" t="s">
        <v>1080</v>
      </c>
      <c r="C243" s="11" t="s">
        <v>884</v>
      </c>
      <c r="D243" s="11" t="s">
        <v>930</v>
      </c>
    </row>
    <row r="244" spans="1:4" x14ac:dyDescent="0.35">
      <c r="A244" s="11" t="s">
        <v>717</v>
      </c>
      <c r="B244" s="11" t="s">
        <v>1081</v>
      </c>
      <c r="C244" s="11" t="s">
        <v>884</v>
      </c>
      <c r="D244" s="11" t="s">
        <v>930</v>
      </c>
    </row>
    <row r="245" spans="1:4" x14ac:dyDescent="0.35">
      <c r="A245" s="11" t="s">
        <v>719</v>
      </c>
      <c r="B245" s="11" t="s">
        <v>1082</v>
      </c>
      <c r="C245" s="11" t="s">
        <v>884</v>
      </c>
      <c r="D245" s="11" t="s">
        <v>930</v>
      </c>
    </row>
    <row r="246" spans="1:4" x14ac:dyDescent="0.35">
      <c r="A246" s="11" t="s">
        <v>721</v>
      </c>
      <c r="B246" s="11" t="s">
        <v>1083</v>
      </c>
      <c r="C246" s="11" t="s">
        <v>884</v>
      </c>
      <c r="D246" s="11" t="s">
        <v>930</v>
      </c>
    </row>
    <row r="247" spans="1:4" x14ac:dyDescent="0.35">
      <c r="A247" s="11" t="s">
        <v>1084</v>
      </c>
      <c r="B247" s="11" t="s">
        <v>1085</v>
      </c>
      <c r="C247" s="11" t="s">
        <v>884</v>
      </c>
      <c r="D247" s="11" t="s">
        <v>930</v>
      </c>
    </row>
    <row r="248" spans="1:4" x14ac:dyDescent="0.35">
      <c r="A248" s="11" t="s">
        <v>1086</v>
      </c>
      <c r="B248" s="11" t="s">
        <v>1087</v>
      </c>
      <c r="C248" s="11" t="s">
        <v>884</v>
      </c>
      <c r="D248" s="11" t="s">
        <v>930</v>
      </c>
    </row>
    <row r="249" spans="1:4" x14ac:dyDescent="0.35">
      <c r="A249" s="11" t="s">
        <v>723</v>
      </c>
      <c r="B249" s="11" t="s">
        <v>56</v>
      </c>
      <c r="C249" s="11" t="s">
        <v>884</v>
      </c>
      <c r="D249" s="11" t="s">
        <v>930</v>
      </c>
    </row>
    <row r="250" spans="1:4" x14ac:dyDescent="0.35">
      <c r="A250" s="11" t="s">
        <v>725</v>
      </c>
      <c r="B250" s="11" t="s">
        <v>1088</v>
      </c>
      <c r="C250" s="11" t="s">
        <v>884</v>
      </c>
      <c r="D250" s="11" t="s">
        <v>930</v>
      </c>
    </row>
    <row r="251" spans="1:4" x14ac:dyDescent="0.35">
      <c r="A251" s="11" t="s">
        <v>1089</v>
      </c>
      <c r="B251" s="11" t="s">
        <v>1090</v>
      </c>
      <c r="C251" s="11" t="s">
        <v>884</v>
      </c>
      <c r="D251" s="11" t="s">
        <v>930</v>
      </c>
    </row>
    <row r="252" spans="1:4" x14ac:dyDescent="0.35">
      <c r="A252" s="11" t="s">
        <v>731</v>
      </c>
      <c r="B252" s="11" t="s">
        <v>732</v>
      </c>
      <c r="C252" s="11" t="s">
        <v>884</v>
      </c>
      <c r="D252" s="11" t="s">
        <v>930</v>
      </c>
    </row>
    <row r="253" spans="1:4" x14ac:dyDescent="0.35">
      <c r="A253" s="11" t="s">
        <v>1091</v>
      </c>
      <c r="B253" s="11" t="s">
        <v>1092</v>
      </c>
      <c r="C253" s="11" t="s">
        <v>884</v>
      </c>
      <c r="D253" s="11" t="s">
        <v>930</v>
      </c>
    </row>
    <row r="254" spans="1:4" x14ac:dyDescent="0.35">
      <c r="A254" s="11" t="s">
        <v>733</v>
      </c>
      <c r="B254" s="11" t="s">
        <v>1093</v>
      </c>
      <c r="C254" s="11" t="s">
        <v>884</v>
      </c>
      <c r="D254" s="11" t="s">
        <v>930</v>
      </c>
    </row>
    <row r="255" spans="1:4" x14ac:dyDescent="0.35">
      <c r="A255" s="11" t="s">
        <v>741</v>
      </c>
      <c r="B255" s="11" t="s">
        <v>1094</v>
      </c>
      <c r="C255" s="11" t="s">
        <v>884</v>
      </c>
      <c r="D255" s="11" t="s">
        <v>930</v>
      </c>
    </row>
    <row r="256" spans="1:4" x14ac:dyDescent="0.35">
      <c r="A256" s="11" t="s">
        <v>1095</v>
      </c>
      <c r="B256" s="11" t="s">
        <v>1096</v>
      </c>
      <c r="C256" s="11" t="s">
        <v>884</v>
      </c>
      <c r="D256" s="11" t="s">
        <v>930</v>
      </c>
    </row>
    <row r="257" spans="1:4" x14ac:dyDescent="0.35">
      <c r="A257" s="11" t="s">
        <v>743</v>
      </c>
      <c r="B257" s="11" t="s">
        <v>1097</v>
      </c>
      <c r="C257" s="11" t="s">
        <v>884</v>
      </c>
      <c r="D257" s="11" t="s">
        <v>930</v>
      </c>
    </row>
    <row r="258" spans="1:4" x14ac:dyDescent="0.35">
      <c r="A258" s="11" t="s">
        <v>751</v>
      </c>
      <c r="B258" s="11" t="s">
        <v>752</v>
      </c>
      <c r="C258" s="11" t="s">
        <v>884</v>
      </c>
      <c r="D258" s="11" t="s">
        <v>930</v>
      </c>
    </row>
    <row r="259" spans="1:4" x14ac:dyDescent="0.35">
      <c r="A259" s="11" t="s">
        <v>753</v>
      </c>
      <c r="B259" s="11" t="s">
        <v>1098</v>
      </c>
      <c r="C259" s="11" t="s">
        <v>884</v>
      </c>
      <c r="D259" s="11" t="s">
        <v>930</v>
      </c>
    </row>
    <row r="260" spans="1:4" x14ac:dyDescent="0.35">
      <c r="A260" s="11" t="s">
        <v>755</v>
      </c>
      <c r="B260" s="11" t="s">
        <v>756</v>
      </c>
      <c r="C260" s="11" t="s">
        <v>884</v>
      </c>
      <c r="D260" s="11" t="s">
        <v>930</v>
      </c>
    </row>
    <row r="261" spans="1:4" x14ac:dyDescent="0.35">
      <c r="A261" s="11" t="s">
        <v>1099</v>
      </c>
      <c r="B261" s="11" t="s">
        <v>1100</v>
      </c>
      <c r="C261" s="11" t="s">
        <v>884</v>
      </c>
      <c r="D261" s="11" t="s">
        <v>930</v>
      </c>
    </row>
    <row r="262" spans="1:4" x14ac:dyDescent="0.35">
      <c r="A262" s="11" t="s">
        <v>761</v>
      </c>
      <c r="B262" s="11" t="s">
        <v>762</v>
      </c>
      <c r="C262" s="11" t="s">
        <v>881</v>
      </c>
      <c r="D262" s="11" t="s">
        <v>930</v>
      </c>
    </row>
    <row r="263" spans="1:4" x14ac:dyDescent="0.35">
      <c r="A263" s="11" t="s">
        <v>763</v>
      </c>
      <c r="B263" s="11" t="s">
        <v>1101</v>
      </c>
      <c r="C263" s="11" t="s">
        <v>881</v>
      </c>
      <c r="D263" s="11" t="s">
        <v>930</v>
      </c>
    </row>
    <row r="264" spans="1:4" x14ac:dyDescent="0.35">
      <c r="A264" s="11" t="s">
        <v>1102</v>
      </c>
      <c r="B264" s="11" t="s">
        <v>1103</v>
      </c>
      <c r="C264" s="11" t="s">
        <v>884</v>
      </c>
      <c r="D264" s="11" t="s">
        <v>930</v>
      </c>
    </row>
    <row r="265" spans="1:4" x14ac:dyDescent="0.35">
      <c r="A265" s="11" t="s">
        <v>767</v>
      </c>
      <c r="B265" s="11" t="s">
        <v>1104</v>
      </c>
      <c r="C265" s="11" t="s">
        <v>884</v>
      </c>
      <c r="D265" s="11" t="s">
        <v>930</v>
      </c>
    </row>
    <row r="266" spans="1:4" x14ac:dyDescent="0.35">
      <c r="A266" s="11" t="s">
        <v>1105</v>
      </c>
      <c r="B266" s="11" t="s">
        <v>1106</v>
      </c>
      <c r="C266" s="11" t="s">
        <v>884</v>
      </c>
      <c r="D266" s="11" t="s">
        <v>930</v>
      </c>
    </row>
    <row r="267" spans="1:4" x14ac:dyDescent="0.35">
      <c r="A267" s="11" t="s">
        <v>771</v>
      </c>
      <c r="B267" s="11" t="s">
        <v>772</v>
      </c>
      <c r="C267" s="11" t="s">
        <v>884</v>
      </c>
      <c r="D267" s="11" t="s">
        <v>930</v>
      </c>
    </row>
    <row r="268" spans="1:4" x14ac:dyDescent="0.35">
      <c r="A268" s="11" t="s">
        <v>773</v>
      </c>
      <c r="B268" s="11" t="s">
        <v>1107</v>
      </c>
      <c r="C268" s="11" t="s">
        <v>884</v>
      </c>
      <c r="D268" s="11" t="s">
        <v>930</v>
      </c>
    </row>
    <row r="269" spans="1:4" x14ac:dyDescent="0.35">
      <c r="A269" s="11" t="s">
        <v>775</v>
      </c>
      <c r="B269" s="11" t="s">
        <v>1108</v>
      </c>
      <c r="C269" s="11" t="s">
        <v>884</v>
      </c>
      <c r="D269" s="11" t="s">
        <v>930</v>
      </c>
    </row>
    <row r="270" spans="1:4" x14ac:dyDescent="0.35">
      <c r="A270" s="11" t="s">
        <v>777</v>
      </c>
      <c r="B270" s="11" t="s">
        <v>1109</v>
      </c>
      <c r="C270" s="11" t="s">
        <v>884</v>
      </c>
      <c r="D270" s="11" t="s">
        <v>930</v>
      </c>
    </row>
    <row r="271" spans="1:4" x14ac:dyDescent="0.35">
      <c r="A271" s="11" t="s">
        <v>779</v>
      </c>
      <c r="B271" s="11" t="s">
        <v>780</v>
      </c>
      <c r="C271" s="11" t="s">
        <v>884</v>
      </c>
      <c r="D271" s="11" t="s">
        <v>930</v>
      </c>
    </row>
    <row r="272" spans="1:4" x14ac:dyDescent="0.35">
      <c r="A272" s="11" t="s">
        <v>781</v>
      </c>
      <c r="B272" s="11" t="s">
        <v>1110</v>
      </c>
      <c r="C272" s="11" t="s">
        <v>881</v>
      </c>
      <c r="D272" s="11" t="s">
        <v>930</v>
      </c>
    </row>
    <row r="273" spans="1:4" x14ac:dyDescent="0.35">
      <c r="A273" s="11" t="s">
        <v>785</v>
      </c>
      <c r="B273" s="11" t="s">
        <v>786</v>
      </c>
      <c r="C273" s="11" t="s">
        <v>881</v>
      </c>
      <c r="D273" s="11" t="s">
        <v>930</v>
      </c>
    </row>
    <row r="274" spans="1:4" x14ac:dyDescent="0.35">
      <c r="A274" s="11" t="s">
        <v>787</v>
      </c>
      <c r="B274" s="11" t="s">
        <v>788</v>
      </c>
      <c r="C274" s="11" t="s">
        <v>881</v>
      </c>
      <c r="D274" s="11" t="s">
        <v>930</v>
      </c>
    </row>
    <row r="275" spans="1:4" x14ac:dyDescent="0.35">
      <c r="A275" s="11" t="s">
        <v>789</v>
      </c>
      <c r="B275" s="11" t="s">
        <v>790</v>
      </c>
      <c r="C275" s="11" t="s">
        <v>881</v>
      </c>
      <c r="D275" s="11" t="s">
        <v>930</v>
      </c>
    </row>
    <row r="276" spans="1:4" x14ac:dyDescent="0.35">
      <c r="A276" s="11" t="s">
        <v>791</v>
      </c>
      <c r="B276" s="11" t="s">
        <v>792</v>
      </c>
      <c r="C276" s="11" t="s">
        <v>881</v>
      </c>
      <c r="D276" s="11" t="s">
        <v>930</v>
      </c>
    </row>
    <row r="277" spans="1:4" x14ac:dyDescent="0.35">
      <c r="A277" s="11" t="s">
        <v>1111</v>
      </c>
      <c r="B277" s="11" t="s">
        <v>633</v>
      </c>
      <c r="C277" s="11" t="s">
        <v>881</v>
      </c>
      <c r="D277" s="11" t="s">
        <v>930</v>
      </c>
    </row>
    <row r="278" spans="1:4" x14ac:dyDescent="0.35">
      <c r="A278" s="11" t="s">
        <v>1112</v>
      </c>
      <c r="B278" s="11" t="s">
        <v>1113</v>
      </c>
      <c r="C278" s="11" t="s">
        <v>884</v>
      </c>
      <c r="D278" s="11" t="s">
        <v>930</v>
      </c>
    </row>
    <row r="279" spans="1:4" x14ac:dyDescent="0.35">
      <c r="A279" s="11" t="s">
        <v>1114</v>
      </c>
      <c r="B279" s="11" t="s">
        <v>1115</v>
      </c>
      <c r="C279" s="11" t="s">
        <v>884</v>
      </c>
      <c r="D279" s="11" t="s">
        <v>930</v>
      </c>
    </row>
    <row r="280" spans="1:4" x14ac:dyDescent="0.35">
      <c r="A280" s="11" t="s">
        <v>793</v>
      </c>
      <c r="B280" s="11" t="s">
        <v>1116</v>
      </c>
      <c r="C280" s="11" t="s">
        <v>884</v>
      </c>
      <c r="D280" s="11" t="s">
        <v>930</v>
      </c>
    </row>
    <row r="281" spans="1:4" x14ac:dyDescent="0.35">
      <c r="A281" s="11" t="s">
        <v>1117</v>
      </c>
      <c r="B281" s="11" t="s">
        <v>1118</v>
      </c>
      <c r="C281" s="11" t="s">
        <v>884</v>
      </c>
      <c r="D281" s="11" t="s">
        <v>930</v>
      </c>
    </row>
    <row r="282" spans="1:4" x14ac:dyDescent="0.35">
      <c r="A282" s="11" t="s">
        <v>809</v>
      </c>
      <c r="B282" s="11" t="s">
        <v>810</v>
      </c>
      <c r="C282" s="11" t="s">
        <v>881</v>
      </c>
      <c r="D282" s="11" t="s">
        <v>930</v>
      </c>
    </row>
    <row r="283" spans="1:4" x14ac:dyDescent="0.35">
      <c r="A283" s="11" t="s">
        <v>811</v>
      </c>
      <c r="B283" s="11" t="s">
        <v>812</v>
      </c>
      <c r="C283" s="11" t="s">
        <v>881</v>
      </c>
      <c r="D283" s="11" t="s">
        <v>930</v>
      </c>
    </row>
    <row r="284" spans="1:4" x14ac:dyDescent="0.35">
      <c r="A284" s="11" t="s">
        <v>1119</v>
      </c>
      <c r="B284" s="11" t="s">
        <v>1120</v>
      </c>
      <c r="C284" s="11" t="s">
        <v>881</v>
      </c>
      <c r="D284" s="11" t="s">
        <v>930</v>
      </c>
    </row>
    <row r="285" spans="1:4" x14ac:dyDescent="0.35">
      <c r="A285" s="11" t="s">
        <v>813</v>
      </c>
      <c r="B285" s="11" t="s">
        <v>1121</v>
      </c>
      <c r="C285" s="11" t="s">
        <v>881</v>
      </c>
      <c r="D285" s="11" t="s">
        <v>930</v>
      </c>
    </row>
    <row r="286" spans="1:4" x14ac:dyDescent="0.35">
      <c r="A286" s="11" t="s">
        <v>815</v>
      </c>
      <c r="B286" s="11" t="s">
        <v>816</v>
      </c>
      <c r="C286" s="11" t="s">
        <v>881</v>
      </c>
      <c r="D286" s="11" t="s">
        <v>930</v>
      </c>
    </row>
    <row r="287" spans="1:4" x14ac:dyDescent="0.35">
      <c r="A287" s="11" t="s">
        <v>817</v>
      </c>
      <c r="B287" s="11" t="s">
        <v>1122</v>
      </c>
      <c r="C287" s="11" t="s">
        <v>881</v>
      </c>
      <c r="D287" s="11" t="s">
        <v>930</v>
      </c>
    </row>
    <row r="288" spans="1:4" x14ac:dyDescent="0.35">
      <c r="A288" s="11" t="s">
        <v>819</v>
      </c>
      <c r="B288" s="11" t="s">
        <v>820</v>
      </c>
      <c r="C288" s="11" t="s">
        <v>881</v>
      </c>
      <c r="D288" s="11" t="s">
        <v>930</v>
      </c>
    </row>
    <row r="289" spans="1:4" x14ac:dyDescent="0.35">
      <c r="A289" s="11" t="s">
        <v>821</v>
      </c>
      <c r="B289" s="11" t="s">
        <v>1123</v>
      </c>
      <c r="C289" s="11" t="s">
        <v>881</v>
      </c>
      <c r="D289" s="11" t="s">
        <v>930</v>
      </c>
    </row>
    <row r="290" spans="1:4" x14ac:dyDescent="0.35">
      <c r="A290" s="11" t="s">
        <v>1124</v>
      </c>
      <c r="B290" s="11" t="s">
        <v>1125</v>
      </c>
      <c r="C290" s="11" t="s">
        <v>881</v>
      </c>
      <c r="D290" s="11" t="s">
        <v>930</v>
      </c>
    </row>
    <row r="291" spans="1:4" x14ac:dyDescent="0.35">
      <c r="A291" s="11" t="s">
        <v>1126</v>
      </c>
      <c r="B291" s="11" t="s">
        <v>1127</v>
      </c>
      <c r="C291" s="11" t="s">
        <v>881</v>
      </c>
      <c r="D291" s="11" t="s">
        <v>930</v>
      </c>
    </row>
    <row r="292" spans="1:4" x14ac:dyDescent="0.35">
      <c r="A292" s="11" t="s">
        <v>1128</v>
      </c>
      <c r="B292" s="11" t="s">
        <v>1129</v>
      </c>
      <c r="C292" s="11" t="s">
        <v>881</v>
      </c>
      <c r="D292" s="11" t="s">
        <v>930</v>
      </c>
    </row>
    <row r="293" spans="1:4" x14ac:dyDescent="0.35">
      <c r="A293" s="11" t="s">
        <v>1130</v>
      </c>
      <c r="B293" s="11" t="s">
        <v>1131</v>
      </c>
      <c r="C293" s="11" t="s">
        <v>881</v>
      </c>
      <c r="D293" s="11" t="s">
        <v>930</v>
      </c>
    </row>
    <row r="294" spans="1:4" x14ac:dyDescent="0.35">
      <c r="A294" s="11" t="s">
        <v>1132</v>
      </c>
      <c r="B294" s="11" t="s">
        <v>1133</v>
      </c>
      <c r="C294" s="11" t="s">
        <v>881</v>
      </c>
      <c r="D294" s="11" t="s">
        <v>930</v>
      </c>
    </row>
    <row r="295" spans="1:4" x14ac:dyDescent="0.35">
      <c r="A295" s="11" t="s">
        <v>1134</v>
      </c>
      <c r="B295" s="11" t="s">
        <v>1135</v>
      </c>
      <c r="C295" s="11" t="s">
        <v>881</v>
      </c>
      <c r="D295" s="11" t="s">
        <v>930</v>
      </c>
    </row>
    <row r="296" spans="1:4" x14ac:dyDescent="0.35">
      <c r="A296" s="11" t="s">
        <v>1136</v>
      </c>
      <c r="B296" s="11" t="s">
        <v>1137</v>
      </c>
      <c r="C296" s="11" t="s">
        <v>881</v>
      </c>
      <c r="D296" s="11" t="s">
        <v>930</v>
      </c>
    </row>
    <row r="297" spans="1:4" x14ac:dyDescent="0.35">
      <c r="A297" s="11" t="s">
        <v>1138</v>
      </c>
      <c r="B297" s="11" t="s">
        <v>1139</v>
      </c>
      <c r="C297" s="11" t="s">
        <v>881</v>
      </c>
      <c r="D297" s="11" t="s">
        <v>930</v>
      </c>
    </row>
    <row r="298" spans="1:4" x14ac:dyDescent="0.35">
      <c r="A298" s="11" t="s">
        <v>1140</v>
      </c>
      <c r="B298" s="11" t="s">
        <v>1141</v>
      </c>
      <c r="C298" s="11" t="s">
        <v>881</v>
      </c>
      <c r="D298" s="11" t="s">
        <v>930</v>
      </c>
    </row>
    <row r="299" spans="1:4" x14ac:dyDescent="0.35">
      <c r="A299" s="11" t="s">
        <v>823</v>
      </c>
      <c r="B299" s="11" t="s">
        <v>1142</v>
      </c>
      <c r="C299" s="11" t="s">
        <v>881</v>
      </c>
      <c r="D299" s="11" t="s">
        <v>930</v>
      </c>
    </row>
    <row r="300" spans="1:4" x14ac:dyDescent="0.35">
      <c r="A300" s="11" t="s">
        <v>825</v>
      </c>
      <c r="B300" s="11" t="s">
        <v>1143</v>
      </c>
      <c r="C300" s="11" t="s">
        <v>881</v>
      </c>
      <c r="D300" s="11" t="s">
        <v>930</v>
      </c>
    </row>
    <row r="301" spans="1:4" x14ac:dyDescent="0.35">
      <c r="A301" s="11" t="s">
        <v>827</v>
      </c>
      <c r="B301" s="11" t="s">
        <v>828</v>
      </c>
      <c r="C301" s="11" t="s">
        <v>881</v>
      </c>
      <c r="D301" s="11" t="s">
        <v>930</v>
      </c>
    </row>
    <row r="302" spans="1:4" x14ac:dyDescent="0.35">
      <c r="A302" s="11" t="s">
        <v>829</v>
      </c>
      <c r="B302" s="11" t="s">
        <v>1144</v>
      </c>
      <c r="C302" s="11" t="s">
        <v>881</v>
      </c>
      <c r="D302" s="11" t="s">
        <v>930</v>
      </c>
    </row>
    <row r="303" spans="1:4" x14ac:dyDescent="0.35">
      <c r="A303" s="11" t="s">
        <v>831</v>
      </c>
      <c r="B303" s="11" t="s">
        <v>832</v>
      </c>
      <c r="C303" s="11" t="s">
        <v>884</v>
      </c>
      <c r="D303" s="11" t="s">
        <v>930</v>
      </c>
    </row>
    <row r="304" spans="1:4" x14ac:dyDescent="0.35">
      <c r="A304" s="11" t="s">
        <v>833</v>
      </c>
      <c r="B304" s="11" t="s">
        <v>834</v>
      </c>
      <c r="C304" s="11" t="s">
        <v>884</v>
      </c>
      <c r="D304" s="11" t="s">
        <v>930</v>
      </c>
    </row>
    <row r="305" spans="1:4" x14ac:dyDescent="0.35">
      <c r="A305" s="11" t="s">
        <v>835</v>
      </c>
      <c r="B305" s="11" t="s">
        <v>836</v>
      </c>
      <c r="C305" s="11" t="s">
        <v>884</v>
      </c>
      <c r="D305" s="11" t="s">
        <v>930</v>
      </c>
    </row>
    <row r="306" spans="1:4" x14ac:dyDescent="0.35">
      <c r="A306" s="11" t="s">
        <v>1145</v>
      </c>
      <c r="B306" s="11" t="s">
        <v>1146</v>
      </c>
      <c r="C306" s="11" t="s">
        <v>884</v>
      </c>
      <c r="D306" s="11" t="s">
        <v>930</v>
      </c>
    </row>
    <row r="307" spans="1:4" x14ac:dyDescent="0.35">
      <c r="A307" s="11" t="s">
        <v>1147</v>
      </c>
      <c r="B307" s="11" t="s">
        <v>1148</v>
      </c>
      <c r="C307" s="11" t="s">
        <v>881</v>
      </c>
      <c r="D307" s="11" t="s">
        <v>1149</v>
      </c>
    </row>
    <row r="308" spans="1:4" x14ac:dyDescent="0.35">
      <c r="A308" s="11" t="s">
        <v>1150</v>
      </c>
      <c r="B308" s="11" t="s">
        <v>1151</v>
      </c>
      <c r="C308" s="11" t="s">
        <v>881</v>
      </c>
      <c r="D308" s="11" t="s">
        <v>1149</v>
      </c>
    </row>
    <row r="309" spans="1:4" x14ac:dyDescent="0.35">
      <c r="A309" s="11" t="s">
        <v>1152</v>
      </c>
      <c r="B309" s="11" t="s">
        <v>1153</v>
      </c>
      <c r="C309" s="11" t="s">
        <v>881</v>
      </c>
      <c r="D309" s="11" t="s">
        <v>1149</v>
      </c>
    </row>
    <row r="310" spans="1:4" x14ac:dyDescent="0.35">
      <c r="A310" s="11" t="s">
        <v>1154</v>
      </c>
      <c r="B310" s="11" t="s">
        <v>1155</v>
      </c>
      <c r="C310" s="11" t="s">
        <v>881</v>
      </c>
      <c r="D310" s="11" t="s">
        <v>1155</v>
      </c>
    </row>
    <row r="311" spans="1:4" x14ac:dyDescent="0.35">
      <c r="A311" s="11" t="s">
        <v>1156</v>
      </c>
      <c r="B311" s="11" t="s">
        <v>1157</v>
      </c>
      <c r="C311" s="11" t="s">
        <v>881</v>
      </c>
      <c r="D311" s="11" t="s">
        <v>931</v>
      </c>
    </row>
    <row r="312" spans="1:4" x14ac:dyDescent="0.35">
      <c r="A312" s="11" t="s">
        <v>837</v>
      </c>
      <c r="B312" s="11" t="s">
        <v>1158</v>
      </c>
      <c r="C312" s="11" t="s">
        <v>881</v>
      </c>
      <c r="D312" s="11" t="s">
        <v>931</v>
      </c>
    </row>
    <row r="313" spans="1:4" x14ac:dyDescent="0.35">
      <c r="A313" s="11" t="s">
        <v>839</v>
      </c>
      <c r="B313" s="11" t="s">
        <v>840</v>
      </c>
      <c r="C313" s="11" t="s">
        <v>881</v>
      </c>
      <c r="D313" s="11" t="s">
        <v>931</v>
      </c>
    </row>
    <row r="314" spans="1:4" x14ac:dyDescent="0.35">
      <c r="A314" s="11" t="s">
        <v>841</v>
      </c>
      <c r="B314" s="11" t="s">
        <v>931</v>
      </c>
      <c r="C314" s="11" t="s">
        <v>881</v>
      </c>
      <c r="D314" s="11" t="s">
        <v>931</v>
      </c>
    </row>
    <row r="315" spans="1:4" x14ac:dyDescent="0.35">
      <c r="A315" s="11" t="s">
        <v>845</v>
      </c>
      <c r="B315" s="11" t="s">
        <v>846</v>
      </c>
      <c r="C315" s="11" t="s">
        <v>881</v>
      </c>
      <c r="D315" s="11" t="s">
        <v>932</v>
      </c>
    </row>
    <row r="316" spans="1:4" x14ac:dyDescent="0.35">
      <c r="A316" s="11" t="s">
        <v>847</v>
      </c>
      <c r="B316" s="11" t="s">
        <v>1159</v>
      </c>
      <c r="C316" s="11" t="s">
        <v>881</v>
      </c>
      <c r="D316" s="11" t="s">
        <v>1159</v>
      </c>
    </row>
    <row r="317" spans="1:4" x14ac:dyDescent="0.35">
      <c r="A317" s="11" t="s">
        <v>849</v>
      </c>
      <c r="B317" s="11" t="s">
        <v>850</v>
      </c>
      <c r="C317" s="11" t="s">
        <v>881</v>
      </c>
      <c r="D317" s="11" t="s">
        <v>932</v>
      </c>
    </row>
    <row r="318" spans="1:4" x14ac:dyDescent="0.35">
      <c r="A318" s="11" t="s">
        <v>851</v>
      </c>
      <c r="B318" s="11" t="s">
        <v>852</v>
      </c>
      <c r="C318" s="11" t="s">
        <v>881</v>
      </c>
      <c r="D318" s="11" t="s">
        <v>933</v>
      </c>
    </row>
    <row r="319" spans="1:4" x14ac:dyDescent="0.35">
      <c r="A319" s="11" t="s">
        <v>853</v>
      </c>
      <c r="B319" s="11" t="s">
        <v>854</v>
      </c>
      <c r="C319" s="11" t="s">
        <v>881</v>
      </c>
      <c r="D319" s="11" t="s">
        <v>933</v>
      </c>
    </row>
    <row r="320" spans="1:4" x14ac:dyDescent="0.35">
      <c r="A320" s="11" t="s">
        <v>1160</v>
      </c>
      <c r="B320" s="11" t="s">
        <v>1161</v>
      </c>
      <c r="C320" s="11" t="s">
        <v>881</v>
      </c>
      <c r="D320" s="11" t="s">
        <v>1161</v>
      </c>
    </row>
    <row r="321" spans="1:4" x14ac:dyDescent="0.35">
      <c r="A321" s="11" t="s">
        <v>1162</v>
      </c>
      <c r="B321" s="11" t="s">
        <v>1163</v>
      </c>
      <c r="C321" s="11" t="s">
        <v>881</v>
      </c>
      <c r="D321" s="11" t="s">
        <v>934</v>
      </c>
    </row>
    <row r="322" spans="1:4" x14ac:dyDescent="0.35">
      <c r="A322" s="11" t="s">
        <v>855</v>
      </c>
      <c r="B322" s="11" t="s">
        <v>1164</v>
      </c>
      <c r="C322" s="11" t="s">
        <v>881</v>
      </c>
      <c r="D322" s="11" t="s">
        <v>934</v>
      </c>
    </row>
    <row r="323" spans="1:4" x14ac:dyDescent="0.35">
      <c r="A323" s="11" t="s">
        <v>857</v>
      </c>
      <c r="B323" s="11" t="s">
        <v>858</v>
      </c>
      <c r="C323" s="11" t="s">
        <v>881</v>
      </c>
      <c r="D323" s="11" t="s">
        <v>934</v>
      </c>
    </row>
    <row r="324" spans="1:4" x14ac:dyDescent="0.35">
      <c r="A324" s="11" t="s">
        <v>859</v>
      </c>
      <c r="B324" s="11" t="s">
        <v>934</v>
      </c>
      <c r="C324" s="11" t="s">
        <v>881</v>
      </c>
      <c r="D324" s="11" t="s">
        <v>934</v>
      </c>
    </row>
    <row r="325" spans="1:4" x14ac:dyDescent="0.35">
      <c r="A325" s="11" t="s">
        <v>867</v>
      </c>
      <c r="B325" s="11" t="s">
        <v>868</v>
      </c>
      <c r="C325" s="11" t="s">
        <v>881</v>
      </c>
      <c r="D325" s="11" t="s">
        <v>935</v>
      </c>
    </row>
    <row r="326" spans="1:4" x14ac:dyDescent="0.35">
      <c r="A326" s="11" t="s">
        <v>869</v>
      </c>
      <c r="B326" s="11" t="s">
        <v>870</v>
      </c>
      <c r="C326" s="11" t="s">
        <v>881</v>
      </c>
      <c r="D326" s="11" t="s">
        <v>935</v>
      </c>
    </row>
    <row r="327" spans="1:4" x14ac:dyDescent="0.35">
      <c r="A327" s="11" t="s">
        <v>1165</v>
      </c>
      <c r="B327" s="11" t="s">
        <v>868</v>
      </c>
      <c r="C327" s="11" t="s">
        <v>881</v>
      </c>
      <c r="D327" s="11" t="s">
        <v>1166</v>
      </c>
    </row>
    <row r="328" spans="1:4" x14ac:dyDescent="0.35">
      <c r="A328" s="11" t="s">
        <v>1167</v>
      </c>
      <c r="B328" s="11" t="s">
        <v>870</v>
      </c>
      <c r="C328" s="11" t="s">
        <v>881</v>
      </c>
      <c r="D328" s="11" t="s">
        <v>1166</v>
      </c>
    </row>
    <row r="329" spans="1:4" x14ac:dyDescent="0.35">
      <c r="A329" s="11" t="s">
        <v>871</v>
      </c>
      <c r="B329" s="11" t="s">
        <v>872</v>
      </c>
      <c r="C329" s="11" t="s">
        <v>881</v>
      </c>
      <c r="D329" s="11" t="s">
        <v>872</v>
      </c>
    </row>
    <row r="330" spans="1:4" x14ac:dyDescent="0.35">
      <c r="A330" s="11" t="s">
        <v>873</v>
      </c>
      <c r="B330" s="11" t="s">
        <v>874</v>
      </c>
      <c r="C330" s="11" t="s">
        <v>881</v>
      </c>
      <c r="D330" s="11" t="s">
        <v>872</v>
      </c>
    </row>
    <row r="331" spans="1:4" x14ac:dyDescent="0.35">
      <c r="A331" s="11" t="s">
        <v>1168</v>
      </c>
      <c r="B331" s="11" t="s">
        <v>1169</v>
      </c>
      <c r="C331" s="11" t="s">
        <v>881</v>
      </c>
      <c r="D331" s="11" t="s">
        <v>872</v>
      </c>
    </row>
    <row r="332" spans="1:4" x14ac:dyDescent="0.35">
      <c r="A332" s="11" t="s">
        <v>1170</v>
      </c>
      <c r="B332" s="11" t="s">
        <v>1171</v>
      </c>
      <c r="C332" s="11" t="s">
        <v>881</v>
      </c>
      <c r="D332" s="11" t="s">
        <v>872</v>
      </c>
    </row>
    <row r="333" spans="1:4" x14ac:dyDescent="0.35">
      <c r="A333" s="11" t="s">
        <v>1172</v>
      </c>
      <c r="B333" s="11" t="s">
        <v>1173</v>
      </c>
      <c r="C333" s="11" t="s">
        <v>881</v>
      </c>
      <c r="D333" s="11" t="s">
        <v>872</v>
      </c>
    </row>
    <row r="334" spans="1:4" x14ac:dyDescent="0.35">
      <c r="A334" s="11" t="s">
        <v>1174</v>
      </c>
      <c r="B334" s="11" t="s">
        <v>1175</v>
      </c>
      <c r="C334" s="11" t="s">
        <v>881</v>
      </c>
      <c r="D334" s="11" t="s">
        <v>872</v>
      </c>
    </row>
    <row r="335" spans="1:4" x14ac:dyDescent="0.35">
      <c r="A335" s="11" t="s">
        <v>875</v>
      </c>
      <c r="B335" s="11" t="s">
        <v>876</v>
      </c>
      <c r="C335" s="11" t="s">
        <v>881</v>
      </c>
      <c r="D335" s="11" t="s">
        <v>872</v>
      </c>
    </row>
    <row r="336" spans="1:4" x14ac:dyDescent="0.35">
      <c r="A336" s="11" t="s">
        <v>1176</v>
      </c>
      <c r="B336" s="11" t="s">
        <v>1177</v>
      </c>
      <c r="C336" s="11" t="s">
        <v>881</v>
      </c>
      <c r="D336" s="11" t="s">
        <v>872</v>
      </c>
    </row>
    <row r="337" spans="1:4" x14ac:dyDescent="0.35">
      <c r="A337" s="11" t="s">
        <v>877</v>
      </c>
      <c r="B337" s="11" t="s">
        <v>878</v>
      </c>
      <c r="C337" s="11" t="s">
        <v>881</v>
      </c>
      <c r="D337" s="11" t="s">
        <v>872</v>
      </c>
    </row>
  </sheetData>
  <customSheetViews>
    <customSheetView guid="{AC4EA9A6-2CED-4841-B447-8AE2764D4F20}" fitToPage="1" state="hidden" topLeftCell="A144">
      <selection activeCell="D167" sqref="D167"/>
      <pageMargins left="0.70866141732283472" right="0.70866141732283472" top="0.74803149606299213" bottom="0.74803149606299213" header="0.31496062992125984" footer="0.31496062992125984"/>
      <pageSetup paperSize="9" scale="75" fitToHeight="10" orientation="landscape" r:id="rId1"/>
    </customSheetView>
  </customSheetViews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5" fitToHeight="1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7E2FEA3B464E47A8D56DBDB5B2CC1F" ma:contentTypeVersion="12" ma:contentTypeDescription="Opprett et nytt dokument." ma:contentTypeScope="" ma:versionID="e072b9d020f33017954064f2b41ac227">
  <xsd:schema xmlns:xsd="http://www.w3.org/2001/XMLSchema" xmlns:xs="http://www.w3.org/2001/XMLSchema" xmlns:p="http://schemas.microsoft.com/office/2006/metadata/properties" xmlns:ns2="bb52c559-e57c-41fd-b59f-03fcf6f46d16" xmlns:ns3="42ad2e6f-fc5f-447f-9107-759872c65626" targetNamespace="http://schemas.microsoft.com/office/2006/metadata/properties" ma:root="true" ma:fieldsID="0ee582c1eb4ee7684ad49c798be3f29b" ns2:_="" ns3:_="">
    <xsd:import namespace="bb52c559-e57c-41fd-b59f-03fcf6f46d16"/>
    <xsd:import namespace="42ad2e6f-fc5f-447f-9107-759872c65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2c559-e57c-41fd-b59f-03fcf6f46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d2e6f-fc5f-447f-9107-759872c65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9B1594-BABD-41C9-85D3-561246BDB6CA}"/>
</file>

<file path=customXml/itemProps2.xml><?xml version="1.0" encoding="utf-8"?>
<ds:datastoreItem xmlns:ds="http://schemas.openxmlformats.org/officeDocument/2006/customXml" ds:itemID="{A3DE5B21-2D0C-47B7-ACC3-38B14AE61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5001A-1BCF-4EAF-8AC7-AA3A750101A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95d0859-0cda-4c1f-bffd-a9621f8684b6"/>
    <ds:schemaRef ds:uri="http://schemas.microsoft.com/office/2006/metadata/properties"/>
    <ds:schemaRef ds:uri="f02d4dee-fdf0-4008-8646-926d275cb70c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12</vt:i4>
      </vt:variant>
    </vt:vector>
  </HeadingPairs>
  <TitlesOfParts>
    <vt:vector size="22" baseType="lpstr">
      <vt:lpstr>P2026 </vt:lpstr>
      <vt:lpstr>AVG 3 ÅR</vt:lpstr>
      <vt:lpstr>R2023</vt:lpstr>
      <vt:lpstr>R2022</vt:lpstr>
      <vt:lpstr>R2021</vt:lpstr>
      <vt:lpstr>Medlemmer</vt:lpstr>
      <vt:lpstr>i2026</vt:lpstr>
      <vt:lpstr>Referanseark</vt:lpstr>
      <vt:lpstr>POGO kontoplan original</vt:lpstr>
      <vt:lpstr>Kontoplan komplett</vt:lpstr>
      <vt:lpstr>'AVG 3 ÅR'!Utskriftsområde</vt:lpstr>
      <vt:lpstr>'Kontoplan komplett'!Utskriftsområde</vt:lpstr>
      <vt:lpstr>'POGO kontoplan original'!Utskriftsområde</vt:lpstr>
      <vt:lpstr>'R2021'!Utskriftsområde</vt:lpstr>
      <vt:lpstr>'R2022'!Utskriftsområde</vt:lpstr>
      <vt:lpstr>'R2023'!Utskriftsområde</vt:lpstr>
      <vt:lpstr>'AVG 3 ÅR'!Utskriftstitler</vt:lpstr>
      <vt:lpstr>'P2026 '!Utskriftstitler</vt:lpstr>
      <vt:lpstr>'R2021'!Utskriftstitler</vt:lpstr>
      <vt:lpstr>'R2022'!Utskriftstitler</vt:lpstr>
      <vt:lpstr>'R2023'!Utskriftstitler</vt:lpstr>
      <vt:lpstr>Referanseark!Utskriftstitler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Server2$</dc:creator>
  <cp:keywords/>
  <dc:description/>
  <cp:lastModifiedBy>Thomas Andersen</cp:lastModifiedBy>
  <cp:revision/>
  <dcterms:created xsi:type="dcterms:W3CDTF">2019-11-06T17:40:57Z</dcterms:created>
  <dcterms:modified xsi:type="dcterms:W3CDTF">2024-12-18T10:56:36Z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0x0101009D7E2FEA3B464E47A8D56DBDB5B2CC1F</vt:lpwstr>
  </property>
</Properties>
</file>